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2"/>
  </bookViews>
  <sheets>
    <sheet name="任务1 " sheetId="6" r:id="rId1"/>
    <sheet name="任务2 " sheetId="8" r:id="rId2"/>
    <sheet name="任务3" sheetId="3" r:id="rId3"/>
    <sheet name="任务4 " sheetId="7" r:id="rId4"/>
    <sheet name="任务5" sheetId="5" r:id="rId5"/>
  </sheets>
  <calcPr calcId="144525"/>
</workbook>
</file>

<file path=xl/sharedStrings.xml><?xml version="1.0" encoding="utf-8"?>
<sst xmlns="http://schemas.openxmlformats.org/spreadsheetml/2006/main" count="745" uniqueCount="300">
  <si>
    <t>销售预算</t>
  </si>
  <si>
    <t>项目</t>
  </si>
  <si>
    <t>第一季度</t>
  </si>
  <si>
    <t>第二季度</t>
  </si>
  <si>
    <t>第三季度</t>
  </si>
  <si>
    <t>第四季度</t>
  </si>
  <si>
    <t>本年合计</t>
  </si>
  <si>
    <t>销售量</t>
  </si>
  <si>
    <t>单价</t>
  </si>
  <si>
    <t>销售收入</t>
  </si>
  <si>
    <t>销售收入及应收账款预算</t>
  </si>
  <si>
    <t>期初应收账款收回</t>
  </si>
  <si>
    <t>第一季度收款</t>
  </si>
  <si>
    <t>第二季度收款</t>
  </si>
  <si>
    <t>第三季度收款</t>
  </si>
  <si>
    <t>第四季度收款</t>
  </si>
  <si>
    <t>期末应收账款</t>
  </si>
  <si>
    <t>合计</t>
  </si>
  <si>
    <t>生产预算</t>
  </si>
  <si>
    <t>加：期末存货量</t>
  </si>
  <si>
    <t>本期需要量</t>
  </si>
  <si>
    <t>减：期初库存量</t>
  </si>
  <si>
    <t>本期生产量</t>
  </si>
  <si>
    <t>直接人工预算</t>
  </si>
  <si>
    <t>单位标准工时</t>
  </si>
  <si>
    <t>总工时</t>
  </si>
  <si>
    <t>工资率/元</t>
  </si>
  <si>
    <t>直接人工成本/元</t>
  </si>
  <si>
    <t>材料采购预算</t>
  </si>
  <si>
    <t>单位标准用量</t>
  </si>
  <si>
    <t>本期生产耗用</t>
  </si>
  <si>
    <t>本期采购量</t>
  </si>
  <si>
    <t>采购款</t>
  </si>
  <si>
    <t>材料采购现金支出预算</t>
  </si>
  <si>
    <t>期初应付账款收回</t>
  </si>
  <si>
    <t>第一季度付款</t>
  </si>
  <si>
    <t>第二季度付款</t>
  </si>
  <si>
    <t>第三季度付款</t>
  </si>
  <si>
    <t>第四季度付款</t>
  </si>
  <si>
    <t>期末应付账款</t>
  </si>
  <si>
    <t>制造费用预算</t>
  </si>
  <si>
    <t>单位变动制造费用</t>
  </si>
  <si>
    <t>变动制造费用合计</t>
  </si>
  <si>
    <t>固定制造费用</t>
  </si>
  <si>
    <t>制造费用合计</t>
  </si>
  <si>
    <t>折旧</t>
  </si>
  <si>
    <t>现金支出制造费用</t>
  </si>
  <si>
    <t>销售管理费用预算</t>
  </si>
  <si>
    <t>分配率</t>
  </si>
  <si>
    <t>变动销售管理费用</t>
  </si>
  <si>
    <t>固定销售管理费用</t>
  </si>
  <si>
    <t>现金支出的销售管理费用</t>
  </si>
  <si>
    <t>产品成本及期末存货成本预算</t>
  </si>
  <si>
    <t>期末存货量</t>
  </si>
  <si>
    <t>直接材料</t>
  </si>
  <si>
    <t>期末存货成本</t>
  </si>
  <si>
    <t>直接人工</t>
  </si>
  <si>
    <t>本期销货成本</t>
  </si>
  <si>
    <t>变动制造费用</t>
  </si>
  <si>
    <t>预计利润表  单位：元</t>
  </si>
  <si>
    <t>11.现金收支预算表  单位：元</t>
  </si>
  <si>
    <t>金额</t>
  </si>
  <si>
    <t>1季度</t>
  </si>
  <si>
    <t>2季度</t>
  </si>
  <si>
    <t>3季度</t>
  </si>
  <si>
    <t>4季度</t>
  </si>
  <si>
    <t>全年</t>
  </si>
  <si>
    <t>期初现金余额</t>
  </si>
  <si>
    <t>销售成本</t>
  </si>
  <si>
    <t>本期现金流入</t>
  </si>
  <si>
    <t>销售毛利</t>
  </si>
  <si>
    <t>可用现金</t>
  </si>
  <si>
    <t>销售管理费用</t>
  </si>
  <si>
    <t>本期现金流出</t>
  </si>
  <si>
    <t>财务费用</t>
  </si>
  <si>
    <t>材料采购</t>
  </si>
  <si>
    <t>税前利润</t>
  </si>
  <si>
    <t>所得税(25%)</t>
  </si>
  <si>
    <t>制造费用</t>
  </si>
  <si>
    <t>净利润</t>
  </si>
  <si>
    <t>分配股利</t>
  </si>
  <si>
    <t>支付股利</t>
  </si>
  <si>
    <t>留存收益</t>
  </si>
  <si>
    <t>支付设备款</t>
  </si>
  <si>
    <t>预缴所得税</t>
  </si>
  <si>
    <t>现金支出合计</t>
  </si>
  <si>
    <t>现金溢缺</t>
  </si>
  <si>
    <t>最低现金余额</t>
  </si>
  <si>
    <t>银行借款</t>
  </si>
  <si>
    <t>偿还银行借款</t>
  </si>
  <si>
    <t>偿还利息</t>
  </si>
  <si>
    <t>期末现金余额</t>
  </si>
  <si>
    <t>预计资产负债表     单位：元 
2023年12月31日</t>
  </si>
  <si>
    <t>资产</t>
  </si>
  <si>
    <t>负债及所有者权益</t>
  </si>
  <si>
    <t>流动资产</t>
  </si>
  <si>
    <t>流动负债</t>
  </si>
  <si>
    <t>现金</t>
  </si>
  <si>
    <t>应付账款</t>
  </si>
  <si>
    <t>应收账款</t>
  </si>
  <si>
    <t>应缴税费</t>
  </si>
  <si>
    <t>原材料存货</t>
  </si>
  <si>
    <t>产成品存货</t>
  </si>
  <si>
    <t>长期资产</t>
  </si>
  <si>
    <t>房屋及设备</t>
  </si>
  <si>
    <t>股本</t>
  </si>
  <si>
    <t>减：累计折旧</t>
  </si>
  <si>
    <t>资产总计</t>
  </si>
  <si>
    <t>负债及所有者权益合计</t>
  </si>
  <si>
    <t>1.销售预测</t>
  </si>
  <si>
    <t>2月</t>
  </si>
  <si>
    <t>3月</t>
  </si>
  <si>
    <t>4月</t>
  </si>
  <si>
    <t>5月</t>
  </si>
  <si>
    <t>6月</t>
  </si>
  <si>
    <t>7月</t>
  </si>
  <si>
    <t>第二季度合计</t>
  </si>
  <si>
    <t>预计销售量/只</t>
  </si>
  <si>
    <t>单价/元</t>
  </si>
  <si>
    <t>销售收入/元</t>
  </si>
  <si>
    <t>2.销售现金流入及应收账款预算  单位：元</t>
  </si>
  <si>
    <t>期初应收账款</t>
  </si>
  <si>
    <t>收回前期账款</t>
  </si>
  <si>
    <t>本期收回货款</t>
  </si>
  <si>
    <t>3.采购预算</t>
  </si>
  <si>
    <t>期末存货/只</t>
  </si>
  <si>
    <t>期初存货量/只</t>
  </si>
  <si>
    <t>本期采购量/只</t>
  </si>
  <si>
    <t>采购单价/元</t>
  </si>
  <si>
    <t>采购款/元</t>
  </si>
  <si>
    <t>4.采购款支付及应付账款预算   单位：元</t>
  </si>
  <si>
    <t>期初应付账款</t>
  </si>
  <si>
    <t>支付本期采购款</t>
  </si>
  <si>
    <t>现金流出合计</t>
  </si>
  <si>
    <t>5.营业成本预算</t>
  </si>
  <si>
    <t>变动费用</t>
  </si>
  <si>
    <t>每只销售佣金/元</t>
  </si>
  <si>
    <t>销售数量/只</t>
  </si>
  <si>
    <t>变动费用合计/元</t>
  </si>
  <si>
    <t>固定费用</t>
  </si>
  <si>
    <t>工资/元</t>
  </si>
  <si>
    <t>水电/元</t>
  </si>
  <si>
    <t>应摊保险费/元</t>
  </si>
  <si>
    <t>折旧/元</t>
  </si>
  <si>
    <t>其他/元</t>
  </si>
  <si>
    <t>固定费用合计/元</t>
  </si>
  <si>
    <t>营业成本合计/元</t>
  </si>
  <si>
    <t>现金支出的营业费用</t>
  </si>
  <si>
    <t>6.现金收支预算表   单位：元</t>
  </si>
  <si>
    <t>进货成本</t>
  </si>
  <si>
    <t>营业费用</t>
  </si>
  <si>
    <t>购置设备</t>
  </si>
  <si>
    <t>所得税</t>
  </si>
  <si>
    <t>7.预计利润表        单位：元</t>
  </si>
  <si>
    <t>预计资产负债表     单位：元 
2016年6月30日</t>
  </si>
  <si>
    <t>产品存货</t>
  </si>
  <si>
    <t>待摊保险费</t>
  </si>
  <si>
    <t>应付利息</t>
  </si>
  <si>
    <t>固定资产</t>
  </si>
  <si>
    <t>实收资本</t>
  </si>
  <si>
    <t>销售预测表</t>
  </si>
  <si>
    <t>年度</t>
  </si>
  <si>
    <t>月份</t>
  </si>
  <si>
    <t>销售额（元）</t>
  </si>
  <si>
    <t>现金流入（元）</t>
  </si>
  <si>
    <t>信用政策改变后现金流入（元）</t>
  </si>
  <si>
    <t>直接人工预算表</t>
  </si>
  <si>
    <t>预计销售额（元）</t>
  </si>
  <si>
    <t>预计人工成本（元）</t>
  </si>
  <si>
    <t>现金流出（元）</t>
  </si>
  <si>
    <t>预计销售额(元）</t>
  </si>
  <si>
    <t>预计材料成本（元)</t>
  </si>
  <si>
    <t>2023年现金预算表    单位：元</t>
  </si>
  <si>
    <t>1月</t>
  </si>
  <si>
    <t>8月</t>
  </si>
  <si>
    <t>9月</t>
  </si>
  <si>
    <t>10月</t>
  </si>
  <si>
    <t>11月</t>
  </si>
  <si>
    <t>12月</t>
  </si>
  <si>
    <t>期初余额</t>
  </si>
  <si>
    <t>现金收入：</t>
  </si>
  <si>
    <t>基金投资利息收入</t>
  </si>
  <si>
    <t>销售收入及应收账款收回</t>
  </si>
  <si>
    <t>可动用现金合计</t>
  </si>
  <si>
    <t>现金支出：</t>
  </si>
  <si>
    <t>管理费用</t>
  </si>
  <si>
    <t>支付租金</t>
  </si>
  <si>
    <t>杂费</t>
  </si>
  <si>
    <t>支付利息</t>
  </si>
  <si>
    <t>支付应税金额</t>
  </si>
  <si>
    <t>购买新设备</t>
  </si>
  <si>
    <t>现金剩余或短缺</t>
  </si>
  <si>
    <t>基金投资及转回</t>
  </si>
  <si>
    <t>期末余额</t>
  </si>
  <si>
    <t>可以弥补</t>
  </si>
  <si>
    <t>原因:由于全年需要资金432.3万元，432.3＜500，所以能弥补。</t>
  </si>
  <si>
    <t>当销售额为预测销售额的120%时的销售预算表</t>
  </si>
  <si>
    <t>预计销售额120%（元)</t>
  </si>
  <si>
    <t>预计现金流入（元）</t>
  </si>
  <si>
    <t>当销售额为预测销售额的120%时的直接材料预算表</t>
  </si>
  <si>
    <t>预计销售额120%（元）</t>
  </si>
  <si>
    <t>预计材料采购成本（元）</t>
  </si>
  <si>
    <t>当销售额为预测销售额的120%时的直接人工个预算表</t>
  </si>
  <si>
    <t>摘要</t>
  </si>
  <si>
    <t>2023年现金预算表120%</t>
  </si>
  <si>
    <t>当销售额为预测销售额的120%时，500万元的信贷额度够。全年需要借款138.8万元，小于500万元</t>
  </si>
  <si>
    <t>当销售额为预测销售额的80%时的销售预算表</t>
  </si>
  <si>
    <t>预计销售额80%（元)</t>
  </si>
  <si>
    <t>当销售额为预测销售额的80%时的直接材料预算表</t>
  </si>
  <si>
    <t>预计销售额80%（元）</t>
  </si>
  <si>
    <t>当销售额为预测销售额的80%时的直接人工个预算表</t>
  </si>
  <si>
    <t>2023年现金预算表80%</t>
  </si>
  <si>
    <t>当销售额为预测销售额的80%时，500万元的信贷额度不够。全年需要借款761.3万元，大于500万元</t>
  </si>
  <si>
    <t>改变信用政策后2023年现金预算表    单位：元</t>
  </si>
  <si>
    <t>改变信用政策后，公司不用借款。公司现金流量最大缺口在6月，缺口444.446万元。</t>
  </si>
  <si>
    <t>1销售预算</t>
  </si>
  <si>
    <t>7.制造费用预算  单位：元</t>
  </si>
  <si>
    <t>数量/件</t>
  </si>
  <si>
    <t>人工工时</t>
  </si>
  <si>
    <t>间接人工</t>
  </si>
  <si>
    <t>间接材料</t>
  </si>
  <si>
    <t>2.销售现金流入及应收账款预算</t>
  </si>
  <si>
    <t>水电费</t>
  </si>
  <si>
    <t>维修费</t>
  </si>
  <si>
    <t>机物料消耗</t>
  </si>
  <si>
    <t>本期销售收款</t>
  </si>
  <si>
    <t>本期现金流入合计</t>
  </si>
  <si>
    <t>折旧费</t>
  </si>
  <si>
    <t>3.生产预算   单位：件</t>
  </si>
  <si>
    <t>固定制造费用合计</t>
  </si>
  <si>
    <t>销售数量</t>
  </si>
  <si>
    <t>制造费用现金支出</t>
  </si>
  <si>
    <t>期初存货量</t>
  </si>
  <si>
    <t>8.产品成本预算  单位：元</t>
  </si>
  <si>
    <t>本期生产量/件</t>
  </si>
  <si>
    <t>4.材料采购预算</t>
  </si>
  <si>
    <t>单位定额/千克</t>
  </si>
  <si>
    <t>生产需要量/千克</t>
  </si>
  <si>
    <t>期末材料存货量/千克</t>
  </si>
  <si>
    <t>期初材料存货量/千克</t>
  </si>
  <si>
    <t>9.销货成本预算及期末存货成本预算  单位：元</t>
  </si>
  <si>
    <t>本期采购量/千克</t>
  </si>
  <si>
    <t>期初存货成本</t>
  </si>
  <si>
    <t>材料采购成本</t>
  </si>
  <si>
    <t>本期生产成本</t>
  </si>
  <si>
    <t>5.材料采购现金支出  单位：元</t>
  </si>
  <si>
    <t>本期销售成本</t>
  </si>
  <si>
    <t>10.销售及管理费用预算  单位：元</t>
  </si>
  <si>
    <t>本期支付采购款</t>
  </si>
  <si>
    <t>变动销售及管理费用</t>
  </si>
  <si>
    <t>固定销售及管理费用</t>
  </si>
  <si>
    <t>本期材料采购现金流出合计</t>
  </si>
  <si>
    <t>6.直接人工预算</t>
  </si>
  <si>
    <t>定额工时</t>
  </si>
  <si>
    <t>直接人工工时</t>
  </si>
  <si>
    <t>定额工资率/元</t>
  </si>
  <si>
    <t>12.预计利润表  单位：元</t>
  </si>
  <si>
    <t>13.预计资产负债表  单位：元</t>
  </si>
  <si>
    <t>土地</t>
  </si>
  <si>
    <t>计算下列各项的12月份预算金额:</t>
  </si>
  <si>
    <t>(1)销售收回的现金、进货支付的现金、本月新借入的银行借款;</t>
  </si>
  <si>
    <t>销售收回的现金=200×38%+220×60%=208（万元）</t>
  </si>
  <si>
    <t xml:space="preserve">    </t>
  </si>
  <si>
    <t xml:space="preserve">   进货支付的现金=200×75%×20%+220×75%×80%=162（万元）</t>
  </si>
  <si>
    <t xml:space="preserve">    因为现金期初余额+现金收入-现金支出+借款金额≥最低现金余额</t>
  </si>
  <si>
    <t xml:space="preserve">       </t>
  </si>
  <si>
    <t xml:space="preserve">    现金收入=208（万元），</t>
  </si>
  <si>
    <t xml:space="preserve">      </t>
  </si>
  <si>
    <t xml:space="preserve">    现金支出=162+60+26.5+120×（1+10%）=380.5（万元）</t>
  </si>
  <si>
    <t xml:space="preserve">          </t>
  </si>
  <si>
    <t xml:space="preserve">     22+208-380.5+借入款项额≥5</t>
  </si>
  <si>
    <t xml:space="preserve">           </t>
  </si>
  <si>
    <t xml:space="preserve">    所以借款金额≥155.5（万元）</t>
  </si>
  <si>
    <t xml:space="preserve">   又因为借款金额是1万的整数倍，所以12月份的借款金额是156万元。 </t>
  </si>
  <si>
    <t>(2)现金、应收账款、应付账款、存货的期末余额;</t>
  </si>
  <si>
    <t>现金期初余额=22（万元），现金收入合计=208+156=364（万元），</t>
  </si>
  <si>
    <t xml:space="preserve">         </t>
  </si>
  <si>
    <t xml:space="preserve">        现金支出合计=162+60+26.5+120×（1+10%）=380.5（万元）</t>
  </si>
  <si>
    <t xml:space="preserve">            </t>
  </si>
  <si>
    <t xml:space="preserve">      现金的期末余额=22+364-380.5=5.5（万元）</t>
  </si>
  <si>
    <t xml:space="preserve">       应收账款期末余额=220×38%=83.6（万元）</t>
  </si>
  <si>
    <t xml:space="preserve">       应付账款期末余额=220×75%×20%+230×75%×80%=171（万元）</t>
  </si>
  <si>
    <t xml:space="preserve">      存货期末余额=230×75%×80%=138（万元）</t>
  </si>
  <si>
    <t xml:space="preserve">   </t>
  </si>
  <si>
    <t>(3)税前利润;</t>
  </si>
  <si>
    <t>税前利润=营业收入-营业成本-管理费用-财务费用-资产减值损失</t>
  </si>
  <si>
    <t xml:space="preserve">                  =220-220×75%-(216/12+26.5)-(120+156)×10%/12-220×2%</t>
  </si>
  <si>
    <t xml:space="preserve">                  =3.8（万元）                       </t>
  </si>
  <si>
    <t>(4)计算12月末的资产总额、负债总额和所有者权益总额。</t>
  </si>
  <si>
    <t>开开公司资产负债表</t>
  </si>
  <si>
    <t>20xx-12-31</t>
  </si>
  <si>
    <t>单位：万元</t>
  </si>
  <si>
    <t>存货</t>
  </si>
  <si>
    <t>银行存款</t>
  </si>
  <si>
    <t>未分配利润</t>
  </si>
  <si>
    <t>资产总额</t>
  </si>
  <si>
    <t>由上表可知：</t>
  </si>
  <si>
    <t xml:space="preserve">   资产总额=5.5+83.6+138+812=1039.1(万元)</t>
  </si>
  <si>
    <t xml:space="preserve">   负债总额=171+1.3+156=328.3(万元)</t>
  </si>
  <si>
    <t xml:space="preserve">   所有者权益总额=700+10.8=710.8（万元）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</si>
</sst>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_ * #,##0_ ;_ * \-#,##0_ ;_ * &quot;-&quot;??_ ;_ @_ "/>
    <numFmt numFmtId="178" formatCode="#,##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C00000"/>
      <name val="宋体"/>
      <charset val="134"/>
      <scheme val="minor"/>
    </font>
    <font>
      <b/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0" xfId="0" applyBorder="1">
      <alignment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1" fontId="0" fillId="0" borderId="0" xfId="0" applyNumberForma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1" fontId="0" fillId="0" borderId="0" xfId="0" applyNumberFormat="1" applyAlignment="1">
      <alignment horizontal="center" vertical="center"/>
    </xf>
    <xf numFmtId="41" fontId="0" fillId="0" borderId="2" xfId="0" applyNumberFormat="1" applyBorder="1">
      <alignment vertical="center"/>
    </xf>
    <xf numFmtId="177" fontId="0" fillId="0" borderId="2" xfId="8" applyNumberForma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2" xfId="0" applyFont="1" applyBorder="1">
      <alignment vertical="center"/>
    </xf>
    <xf numFmtId="178" fontId="1" fillId="0" borderId="2" xfId="0" applyNumberFormat="1" applyFont="1" applyBorder="1">
      <alignment vertical="center"/>
    </xf>
    <xf numFmtId="178" fontId="0" fillId="0" borderId="2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178" fontId="1" fillId="0" borderId="2" xfId="0" applyNumberFormat="1" applyFont="1" applyBorder="1">
      <alignment vertical="center"/>
    </xf>
    <xf numFmtId="0" fontId="1" fillId="0" borderId="2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8" fontId="4" fillId="0" borderId="2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178" fontId="8" fillId="0" borderId="2" xfId="0" applyNumberFormat="1" applyFont="1" applyFill="1" applyBorder="1" applyAlignment="1">
      <alignment vertical="center" wrapText="1"/>
    </xf>
    <xf numFmtId="178" fontId="7" fillId="0" borderId="2" xfId="0" applyNumberFormat="1" applyFont="1" applyFill="1" applyBorder="1">
      <alignment vertical="center"/>
    </xf>
    <xf numFmtId="0" fontId="3" fillId="0" borderId="2" xfId="0" applyFont="1" applyBorder="1">
      <alignment vertical="center"/>
    </xf>
    <xf numFmtId="0" fontId="7" fillId="0" borderId="2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2" borderId="2" xfId="0" applyFill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2" borderId="2" xfId="0" applyNumberFormat="1" applyFill="1" applyBorder="1">
      <alignment vertical="center"/>
    </xf>
    <xf numFmtId="176" fontId="0" fillId="0" borderId="0" xfId="0" applyNumberFormat="1">
      <alignment vertical="center"/>
    </xf>
    <xf numFmtId="43" fontId="0" fillId="0" borderId="2" xfId="0" applyNumberFormat="1" applyBorder="1" applyAlignment="1">
      <alignment vertical="center" wrapText="1"/>
    </xf>
    <xf numFmtId="4" fontId="0" fillId="0" borderId="2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9"/>
  <sheetViews>
    <sheetView workbookViewId="0">
      <selection activeCell="F111" sqref="F111"/>
    </sheetView>
  </sheetViews>
  <sheetFormatPr defaultColWidth="9" defaultRowHeight="13.5"/>
  <cols>
    <col min="1" max="1" width="13" customWidth="1"/>
    <col min="2" max="2" width="16.875" customWidth="1"/>
    <col min="3" max="3" width="16" customWidth="1"/>
    <col min="4" max="5" width="16.875" customWidth="1"/>
    <col min="6" max="6" width="18.25"/>
    <col min="7" max="8" width="9.375"/>
    <col min="9" max="10" width="10.375"/>
  </cols>
  <sheetData>
    <row r="1" spans="1:6">
      <c r="A1" s="13" t="s">
        <v>0</v>
      </c>
      <c r="B1" s="13"/>
      <c r="C1" s="13"/>
      <c r="D1" s="13"/>
      <c r="E1" s="13"/>
      <c r="F1" s="13"/>
    </row>
    <row r="2" spans="1:6">
      <c r="A2" s="14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4" t="s">
        <v>6</v>
      </c>
    </row>
    <row r="3" spans="1:6">
      <c r="A3" s="14" t="s">
        <v>7</v>
      </c>
      <c r="B3" s="14">
        <v>60000</v>
      </c>
      <c r="C3" s="14">
        <v>65000</v>
      </c>
      <c r="D3" s="14">
        <v>75000</v>
      </c>
      <c r="E3" s="14">
        <v>90000</v>
      </c>
      <c r="F3" s="14">
        <f>SUM(B3:E3)</f>
        <v>290000</v>
      </c>
    </row>
    <row r="4" spans="1:6">
      <c r="A4" s="14" t="s">
        <v>8</v>
      </c>
      <c r="B4" s="57">
        <v>400</v>
      </c>
      <c r="C4" s="57">
        <v>400</v>
      </c>
      <c r="D4" s="57">
        <v>400</v>
      </c>
      <c r="E4" s="57">
        <v>400</v>
      </c>
      <c r="F4" s="57">
        <v>400</v>
      </c>
    </row>
    <row r="5" spans="1:6">
      <c r="A5" s="14" t="s">
        <v>9</v>
      </c>
      <c r="B5" s="57">
        <f t="shared" ref="B5:F5" si="0">B3*B4</f>
        <v>24000000</v>
      </c>
      <c r="C5" s="57">
        <f t="shared" si="0"/>
        <v>26000000</v>
      </c>
      <c r="D5" s="57">
        <f t="shared" si="0"/>
        <v>30000000</v>
      </c>
      <c r="E5" s="57">
        <f t="shared" si="0"/>
        <v>36000000</v>
      </c>
      <c r="F5" s="57">
        <f t="shared" si="0"/>
        <v>116000000</v>
      </c>
    </row>
    <row r="7" spans="1:6">
      <c r="A7" s="13" t="s">
        <v>10</v>
      </c>
      <c r="B7" s="13"/>
      <c r="C7" s="13"/>
      <c r="D7" s="13"/>
      <c r="E7" s="13"/>
      <c r="F7" s="13"/>
    </row>
    <row r="8" spans="1:6">
      <c r="A8" s="14" t="s">
        <v>1</v>
      </c>
      <c r="B8" s="17" t="s">
        <v>2</v>
      </c>
      <c r="C8" s="17" t="s">
        <v>3</v>
      </c>
      <c r="D8" s="17" t="s">
        <v>4</v>
      </c>
      <c r="E8" s="17" t="s">
        <v>5</v>
      </c>
      <c r="F8" s="14" t="s">
        <v>6</v>
      </c>
    </row>
    <row r="9" spans="1:6">
      <c r="A9" s="14" t="s">
        <v>9</v>
      </c>
      <c r="B9" s="58">
        <f t="shared" ref="B9:F9" si="1">B5</f>
        <v>24000000</v>
      </c>
      <c r="C9" s="58">
        <f t="shared" si="1"/>
        <v>26000000</v>
      </c>
      <c r="D9" s="58">
        <f t="shared" si="1"/>
        <v>30000000</v>
      </c>
      <c r="E9" s="58">
        <f t="shared" si="1"/>
        <v>36000000</v>
      </c>
      <c r="F9" s="58">
        <f t="shared" si="1"/>
        <v>116000000</v>
      </c>
    </row>
    <row r="10" spans="1:6">
      <c r="A10" s="14" t="s">
        <v>11</v>
      </c>
      <c r="B10" s="58">
        <v>3300000</v>
      </c>
      <c r="C10" s="58"/>
      <c r="D10" s="58"/>
      <c r="E10" s="58"/>
      <c r="F10" s="58">
        <f>B10</f>
        <v>3300000</v>
      </c>
    </row>
    <row r="11" spans="1:6">
      <c r="A11" s="14" t="s">
        <v>12</v>
      </c>
      <c r="B11" s="58">
        <f>B9*0.85</f>
        <v>20400000</v>
      </c>
      <c r="C11" s="58">
        <f>B9*0.15</f>
        <v>3600000</v>
      </c>
      <c r="D11" s="58"/>
      <c r="E11" s="58"/>
      <c r="F11" s="58">
        <f t="shared" ref="F11:F14" si="2">SUM(B10:E10)</f>
        <v>3300000</v>
      </c>
    </row>
    <row r="12" spans="1:6">
      <c r="A12" s="14" t="s">
        <v>13</v>
      </c>
      <c r="B12" s="58"/>
      <c r="C12" s="58">
        <f>C9*0.85</f>
        <v>22100000</v>
      </c>
      <c r="D12" s="58">
        <f>C9*0.15</f>
        <v>3900000</v>
      </c>
      <c r="E12" s="58"/>
      <c r="F12" s="58">
        <f t="shared" si="2"/>
        <v>24000000</v>
      </c>
    </row>
    <row r="13" spans="1:6">
      <c r="A13" s="14" t="s">
        <v>14</v>
      </c>
      <c r="B13" s="58"/>
      <c r="C13" s="58"/>
      <c r="D13" s="58">
        <f>D9*0.85</f>
        <v>25500000</v>
      </c>
      <c r="E13" s="58">
        <f>D9*0.15</f>
        <v>4500000</v>
      </c>
      <c r="F13" s="58">
        <f t="shared" si="2"/>
        <v>26000000</v>
      </c>
    </row>
    <row r="14" spans="1:6">
      <c r="A14" s="14" t="s">
        <v>15</v>
      </c>
      <c r="B14" s="58"/>
      <c r="C14" s="58"/>
      <c r="D14" s="58"/>
      <c r="E14" s="58">
        <f>E9*0.85</f>
        <v>30600000</v>
      </c>
      <c r="F14" s="58">
        <f t="shared" si="2"/>
        <v>30000000</v>
      </c>
    </row>
    <row r="15" spans="1:6">
      <c r="A15" s="14" t="s">
        <v>16</v>
      </c>
      <c r="B15" s="58"/>
      <c r="C15" s="58"/>
      <c r="D15" s="58"/>
      <c r="E15" s="58">
        <f>E9*0.15</f>
        <v>5400000</v>
      </c>
      <c r="F15" s="58">
        <f>E15</f>
        <v>5400000</v>
      </c>
    </row>
    <row r="16" spans="1:6">
      <c r="A16" s="14" t="s">
        <v>17</v>
      </c>
      <c r="B16" s="58">
        <f>SUM(B10:B14)</f>
        <v>23700000</v>
      </c>
      <c r="C16" s="58">
        <f>SUM(C10:C14)</f>
        <v>25700000</v>
      </c>
      <c r="D16" s="58">
        <f>SUM(D10:D14)</f>
        <v>29400000</v>
      </c>
      <c r="E16" s="58">
        <f>SUM(E10:E14)</f>
        <v>35100000</v>
      </c>
      <c r="F16" s="58">
        <f>SUM(B16:E16)</f>
        <v>113900000</v>
      </c>
    </row>
    <row r="18" spans="1:6">
      <c r="A18" s="13" t="s">
        <v>18</v>
      </c>
      <c r="B18" s="13"/>
      <c r="C18" s="13"/>
      <c r="D18" s="13"/>
      <c r="E18" s="13"/>
      <c r="F18" s="13"/>
    </row>
    <row r="19" spans="1:6">
      <c r="A19" s="14" t="s">
        <v>1</v>
      </c>
      <c r="B19" s="17" t="s">
        <v>2</v>
      </c>
      <c r="C19" s="17" t="s">
        <v>3</v>
      </c>
      <c r="D19" s="17" t="s">
        <v>4</v>
      </c>
      <c r="E19" s="17" t="s">
        <v>5</v>
      </c>
      <c r="F19" s="14" t="s">
        <v>6</v>
      </c>
    </row>
    <row r="20" spans="1:6">
      <c r="A20" s="14" t="s">
        <v>7</v>
      </c>
      <c r="B20" s="14">
        <f t="shared" ref="B20:F20" si="3">B3</f>
        <v>60000</v>
      </c>
      <c r="C20" s="14">
        <f t="shared" si="3"/>
        <v>65000</v>
      </c>
      <c r="D20" s="14">
        <f t="shared" si="3"/>
        <v>75000</v>
      </c>
      <c r="E20" s="14">
        <f t="shared" si="3"/>
        <v>90000</v>
      </c>
      <c r="F20" s="14">
        <f t="shared" si="3"/>
        <v>290000</v>
      </c>
    </row>
    <row r="21" spans="1:6">
      <c r="A21" s="14" t="s">
        <v>19</v>
      </c>
      <c r="B21" s="14">
        <v>13000</v>
      </c>
      <c r="C21" s="14">
        <v>15000</v>
      </c>
      <c r="D21" s="14">
        <v>20000</v>
      </c>
      <c r="E21" s="14">
        <v>10000</v>
      </c>
      <c r="F21" s="14">
        <f>E21</f>
        <v>10000</v>
      </c>
    </row>
    <row r="22" spans="1:6">
      <c r="A22" s="14" t="s">
        <v>20</v>
      </c>
      <c r="B22" s="14">
        <f t="shared" ref="B22:F22" si="4">B20+B21</f>
        <v>73000</v>
      </c>
      <c r="C22" s="14">
        <f t="shared" si="4"/>
        <v>80000</v>
      </c>
      <c r="D22" s="14">
        <f t="shared" si="4"/>
        <v>95000</v>
      </c>
      <c r="E22" s="14">
        <f t="shared" si="4"/>
        <v>100000</v>
      </c>
      <c r="F22" s="14">
        <f t="shared" si="4"/>
        <v>300000</v>
      </c>
    </row>
    <row r="23" spans="1:6">
      <c r="A23" s="14" t="s">
        <v>21</v>
      </c>
      <c r="B23" s="14">
        <v>0</v>
      </c>
      <c r="C23" s="14">
        <f>B21</f>
        <v>13000</v>
      </c>
      <c r="D23" s="14">
        <f>C21</f>
        <v>15000</v>
      </c>
      <c r="E23" s="14">
        <f>D21</f>
        <v>20000</v>
      </c>
      <c r="F23" s="14">
        <v>0</v>
      </c>
    </row>
    <row r="24" spans="1:6">
      <c r="A24" s="14" t="s">
        <v>22</v>
      </c>
      <c r="B24" s="14">
        <f>B22-B23</f>
        <v>73000</v>
      </c>
      <c r="C24" s="14">
        <f>C22-C23</f>
        <v>67000</v>
      </c>
      <c r="D24" s="14">
        <f>D22-D23</f>
        <v>80000</v>
      </c>
      <c r="E24" s="14">
        <f>E22-E23</f>
        <v>80000</v>
      </c>
      <c r="F24" s="14">
        <f>SUM(B24:E24)</f>
        <v>300000</v>
      </c>
    </row>
    <row r="26" spans="1:6">
      <c r="A26" s="13" t="s">
        <v>23</v>
      </c>
      <c r="B26" s="13"/>
      <c r="C26" s="13"/>
      <c r="D26" s="13"/>
      <c r="E26" s="13"/>
      <c r="F26" s="13"/>
    </row>
    <row r="27" spans="1:6">
      <c r="A27" s="14" t="s">
        <v>1</v>
      </c>
      <c r="B27" s="17" t="s">
        <v>2</v>
      </c>
      <c r="C27" s="17" t="s">
        <v>3</v>
      </c>
      <c r="D27" s="17" t="s">
        <v>4</v>
      </c>
      <c r="E27" s="17" t="s">
        <v>5</v>
      </c>
      <c r="F27" s="14" t="s">
        <v>6</v>
      </c>
    </row>
    <row r="28" spans="1:6">
      <c r="A28" s="14" t="s">
        <v>22</v>
      </c>
      <c r="B28" s="14">
        <f t="shared" ref="B28:F28" si="5">B24</f>
        <v>73000</v>
      </c>
      <c r="C28" s="14">
        <f t="shared" si="5"/>
        <v>67000</v>
      </c>
      <c r="D28" s="14">
        <f t="shared" si="5"/>
        <v>80000</v>
      </c>
      <c r="E28" s="14">
        <f t="shared" si="5"/>
        <v>80000</v>
      </c>
      <c r="F28" s="14">
        <f t="shared" si="5"/>
        <v>300000</v>
      </c>
    </row>
    <row r="29" spans="1:6">
      <c r="A29" s="14" t="s">
        <v>24</v>
      </c>
      <c r="B29" s="14">
        <v>5</v>
      </c>
      <c r="C29" s="14">
        <v>5</v>
      </c>
      <c r="D29" s="14">
        <v>5</v>
      </c>
      <c r="E29" s="14">
        <v>5</v>
      </c>
      <c r="F29" s="14">
        <v>5</v>
      </c>
    </row>
    <row r="30" spans="1:6">
      <c r="A30" s="14" t="s">
        <v>25</v>
      </c>
      <c r="B30" s="14">
        <f t="shared" ref="B30:F30" si="6">B28*B29</f>
        <v>365000</v>
      </c>
      <c r="C30" s="14">
        <f t="shared" si="6"/>
        <v>335000</v>
      </c>
      <c r="D30" s="14">
        <f t="shared" si="6"/>
        <v>400000</v>
      </c>
      <c r="E30" s="14">
        <f t="shared" si="6"/>
        <v>400000</v>
      </c>
      <c r="F30" s="14">
        <f t="shared" si="6"/>
        <v>1500000</v>
      </c>
    </row>
    <row r="31" spans="1:6">
      <c r="A31" s="14" t="s">
        <v>26</v>
      </c>
      <c r="B31" s="14">
        <v>10</v>
      </c>
      <c r="C31" s="14">
        <v>10</v>
      </c>
      <c r="D31" s="14">
        <v>10</v>
      </c>
      <c r="E31" s="14">
        <v>10</v>
      </c>
      <c r="F31" s="14">
        <v>10</v>
      </c>
    </row>
    <row r="32" spans="1:6">
      <c r="A32" s="14" t="s">
        <v>27</v>
      </c>
      <c r="B32" s="14">
        <f t="shared" ref="B32:F32" si="7">B30*B31</f>
        <v>3650000</v>
      </c>
      <c r="C32" s="14">
        <f t="shared" si="7"/>
        <v>3350000</v>
      </c>
      <c r="D32" s="14">
        <f t="shared" si="7"/>
        <v>4000000</v>
      </c>
      <c r="E32" s="14">
        <f t="shared" si="7"/>
        <v>4000000</v>
      </c>
      <c r="F32" s="14">
        <f t="shared" si="7"/>
        <v>15000000</v>
      </c>
    </row>
    <row r="34" spans="1:6">
      <c r="A34" s="13" t="s">
        <v>28</v>
      </c>
      <c r="B34" s="13"/>
      <c r="C34" s="13"/>
      <c r="D34" s="13"/>
      <c r="E34" s="13"/>
      <c r="F34" s="13"/>
    </row>
    <row r="35" spans="1:6">
      <c r="A35" s="14" t="s">
        <v>1</v>
      </c>
      <c r="B35" s="17" t="s">
        <v>2</v>
      </c>
      <c r="C35" s="17" t="s">
        <v>3</v>
      </c>
      <c r="D35" s="17" t="s">
        <v>4</v>
      </c>
      <c r="E35" s="17" t="s">
        <v>5</v>
      </c>
      <c r="F35" s="14" t="s">
        <v>6</v>
      </c>
    </row>
    <row r="36" spans="1:6">
      <c r="A36" s="14" t="s">
        <v>22</v>
      </c>
      <c r="B36" s="14">
        <f t="shared" ref="B36:F36" si="8">B24</f>
        <v>73000</v>
      </c>
      <c r="C36" s="14">
        <f t="shared" si="8"/>
        <v>67000</v>
      </c>
      <c r="D36" s="14">
        <f t="shared" si="8"/>
        <v>80000</v>
      </c>
      <c r="E36" s="14">
        <f t="shared" si="8"/>
        <v>80000</v>
      </c>
      <c r="F36" s="14">
        <f t="shared" si="8"/>
        <v>300000</v>
      </c>
    </row>
    <row r="37" spans="1:6">
      <c r="A37" s="14" t="s">
        <v>29</v>
      </c>
      <c r="B37" s="14">
        <v>3</v>
      </c>
      <c r="C37" s="14">
        <v>3</v>
      </c>
      <c r="D37" s="14">
        <v>3</v>
      </c>
      <c r="E37" s="14">
        <v>3</v>
      </c>
      <c r="F37" s="14">
        <v>3</v>
      </c>
    </row>
    <row r="38" spans="1:6">
      <c r="A38" s="14" t="s">
        <v>30</v>
      </c>
      <c r="B38" s="14">
        <f t="shared" ref="B38:F38" si="9">B36*B37</f>
        <v>219000</v>
      </c>
      <c r="C38" s="14">
        <f t="shared" si="9"/>
        <v>201000</v>
      </c>
      <c r="D38" s="14">
        <f t="shared" si="9"/>
        <v>240000</v>
      </c>
      <c r="E38" s="14">
        <f t="shared" si="9"/>
        <v>240000</v>
      </c>
      <c r="F38" s="14">
        <f t="shared" si="9"/>
        <v>900000</v>
      </c>
    </row>
    <row r="39" spans="1:6">
      <c r="A39" s="14" t="s">
        <v>19</v>
      </c>
      <c r="B39" s="14">
        <f>C38*0.3</f>
        <v>60300</v>
      </c>
      <c r="C39" s="14">
        <f>D38*0.3</f>
        <v>72000</v>
      </c>
      <c r="D39" s="14">
        <f>E38*0.3</f>
        <v>72000</v>
      </c>
      <c r="E39" s="14">
        <f>B41</f>
        <v>65700</v>
      </c>
      <c r="F39" s="14">
        <f>E39</f>
        <v>65700</v>
      </c>
    </row>
    <row r="40" spans="1:6">
      <c r="A40" s="14" t="s">
        <v>20</v>
      </c>
      <c r="B40" s="14">
        <f t="shared" ref="B40:F40" si="10">B38+B39</f>
        <v>279300</v>
      </c>
      <c r="C40" s="14">
        <f t="shared" si="10"/>
        <v>273000</v>
      </c>
      <c r="D40" s="14">
        <f t="shared" si="10"/>
        <v>312000</v>
      </c>
      <c r="E40" s="14">
        <f t="shared" si="10"/>
        <v>305700</v>
      </c>
      <c r="F40" s="14">
        <f t="shared" si="10"/>
        <v>965700</v>
      </c>
    </row>
    <row r="41" spans="1:6">
      <c r="A41" s="14" t="s">
        <v>21</v>
      </c>
      <c r="B41" s="14">
        <v>65700</v>
      </c>
      <c r="C41" s="14">
        <f>B39</f>
        <v>60300</v>
      </c>
      <c r="D41" s="14">
        <f>C39</f>
        <v>72000</v>
      </c>
      <c r="E41" s="14">
        <f>D39</f>
        <v>72000</v>
      </c>
      <c r="F41" s="14">
        <f>B41</f>
        <v>65700</v>
      </c>
    </row>
    <row r="42" spans="1:6">
      <c r="A42" s="14" t="s">
        <v>31</v>
      </c>
      <c r="B42" s="14">
        <f t="shared" ref="B42:F42" si="11">B40-B41</f>
        <v>213600</v>
      </c>
      <c r="C42" s="14">
        <f t="shared" si="11"/>
        <v>212700</v>
      </c>
      <c r="D42" s="14">
        <f t="shared" si="11"/>
        <v>240000</v>
      </c>
      <c r="E42" s="14">
        <f t="shared" si="11"/>
        <v>233700</v>
      </c>
      <c r="F42" s="14">
        <f t="shared" si="11"/>
        <v>900000</v>
      </c>
    </row>
    <row r="43" spans="1:6">
      <c r="A43" s="14" t="s">
        <v>8</v>
      </c>
      <c r="B43" s="14">
        <v>80</v>
      </c>
      <c r="C43" s="14">
        <v>80</v>
      </c>
      <c r="D43" s="14">
        <v>80</v>
      </c>
      <c r="E43" s="14">
        <v>80</v>
      </c>
      <c r="F43" s="14">
        <v>80</v>
      </c>
    </row>
    <row r="44" spans="1:6">
      <c r="A44" s="14" t="s">
        <v>32</v>
      </c>
      <c r="B44" s="14">
        <f t="shared" ref="B44:F44" si="12">B42*B43</f>
        <v>17088000</v>
      </c>
      <c r="C44" s="14">
        <f t="shared" si="12"/>
        <v>17016000</v>
      </c>
      <c r="D44" s="14">
        <f t="shared" si="12"/>
        <v>19200000</v>
      </c>
      <c r="E44" s="14">
        <f t="shared" si="12"/>
        <v>18696000</v>
      </c>
      <c r="F44" s="14">
        <f t="shared" si="12"/>
        <v>72000000</v>
      </c>
    </row>
    <row r="46" spans="1:6">
      <c r="A46" s="13" t="s">
        <v>33</v>
      </c>
      <c r="B46" s="13"/>
      <c r="C46" s="13"/>
      <c r="D46" s="13"/>
      <c r="E46" s="13"/>
      <c r="F46" s="13"/>
    </row>
    <row r="47" spans="1:6">
      <c r="A47" s="14" t="s">
        <v>1</v>
      </c>
      <c r="B47" s="17" t="s">
        <v>2</v>
      </c>
      <c r="C47" s="17" t="s">
        <v>3</v>
      </c>
      <c r="D47" s="17" t="s">
        <v>4</v>
      </c>
      <c r="E47" s="17" t="s">
        <v>5</v>
      </c>
      <c r="F47" s="17" t="s">
        <v>6</v>
      </c>
    </row>
    <row r="48" spans="1:6">
      <c r="A48" s="14" t="s">
        <v>32</v>
      </c>
      <c r="B48" s="17">
        <f t="shared" ref="B48:F48" si="13">B44</f>
        <v>17088000</v>
      </c>
      <c r="C48" s="17">
        <f t="shared" si="13"/>
        <v>17016000</v>
      </c>
      <c r="D48" s="17">
        <f t="shared" si="13"/>
        <v>19200000</v>
      </c>
      <c r="E48" s="17">
        <f t="shared" si="13"/>
        <v>18696000</v>
      </c>
      <c r="F48" s="17">
        <f t="shared" si="13"/>
        <v>72000000</v>
      </c>
    </row>
    <row r="49" spans="1:6">
      <c r="A49" s="14" t="s">
        <v>34</v>
      </c>
      <c r="B49" s="17">
        <v>7248000</v>
      </c>
      <c r="C49" s="17"/>
      <c r="D49" s="17"/>
      <c r="E49" s="17"/>
      <c r="F49" s="17">
        <f>B49</f>
        <v>7248000</v>
      </c>
    </row>
    <row r="50" spans="1:6">
      <c r="A50" s="14" t="s">
        <v>35</v>
      </c>
      <c r="B50" s="17">
        <f>B48*0.5</f>
        <v>8544000</v>
      </c>
      <c r="C50" s="17">
        <f>B48*0.5</f>
        <v>8544000</v>
      </c>
      <c r="D50" s="17"/>
      <c r="E50" s="17"/>
      <c r="F50" s="17">
        <f t="shared" ref="F50:F53" si="14">SUM(B50:E50)</f>
        <v>17088000</v>
      </c>
    </row>
    <row r="51" spans="1:6">
      <c r="A51" s="14" t="s">
        <v>36</v>
      </c>
      <c r="B51" s="17"/>
      <c r="C51" s="17">
        <f>$C$48*0.5</f>
        <v>8508000</v>
      </c>
      <c r="D51" s="17">
        <f>$C$48*0.5</f>
        <v>8508000</v>
      </c>
      <c r="E51" s="17"/>
      <c r="F51" s="17">
        <f t="shared" si="14"/>
        <v>17016000</v>
      </c>
    </row>
    <row r="52" spans="1:6">
      <c r="A52" s="14" t="s">
        <v>37</v>
      </c>
      <c r="B52" s="17"/>
      <c r="C52" s="17"/>
      <c r="D52" s="17">
        <f>$D$48*0.5</f>
        <v>9600000</v>
      </c>
      <c r="E52" s="17">
        <f>$D$48*0.5</f>
        <v>9600000</v>
      </c>
      <c r="F52" s="17">
        <f t="shared" si="14"/>
        <v>19200000</v>
      </c>
    </row>
    <row r="53" spans="1:6">
      <c r="A53" s="14" t="s">
        <v>38</v>
      </c>
      <c r="B53" s="17"/>
      <c r="C53" s="17"/>
      <c r="D53" s="17"/>
      <c r="E53" s="17">
        <f>$E$48*0.5</f>
        <v>9348000</v>
      </c>
      <c r="F53" s="17">
        <f t="shared" si="14"/>
        <v>9348000</v>
      </c>
    </row>
    <row r="54" spans="1:6">
      <c r="A54" s="14" t="s">
        <v>39</v>
      </c>
      <c r="B54" s="17"/>
      <c r="C54" s="17"/>
      <c r="D54" s="17"/>
      <c r="E54" s="17">
        <f>$E$48*0.5</f>
        <v>9348000</v>
      </c>
      <c r="F54" s="17">
        <f>E54</f>
        <v>9348000</v>
      </c>
    </row>
    <row r="55" spans="1:6">
      <c r="A55" s="14" t="s">
        <v>17</v>
      </c>
      <c r="B55" s="17">
        <f>SUM(B49:B53)</f>
        <v>15792000</v>
      </c>
      <c r="C55" s="17">
        <f>SUM(C49:C53)</f>
        <v>17052000</v>
      </c>
      <c r="D55" s="17">
        <f>SUM(D49:D53)</f>
        <v>18108000</v>
      </c>
      <c r="E55" s="17">
        <f>SUM(E49:E53)</f>
        <v>18948000</v>
      </c>
      <c r="F55" s="17">
        <f>SUM(B55:E55)</f>
        <v>69900000</v>
      </c>
    </row>
    <row r="57" spans="1:6">
      <c r="A57" s="13" t="s">
        <v>40</v>
      </c>
      <c r="B57" s="13"/>
      <c r="C57" s="13"/>
      <c r="D57" s="13"/>
      <c r="E57" s="13"/>
      <c r="F57" s="13"/>
    </row>
    <row r="58" spans="1:6">
      <c r="A58" s="14" t="s">
        <v>1</v>
      </c>
      <c r="B58" s="17" t="s">
        <v>2</v>
      </c>
      <c r="C58" s="17" t="s">
        <v>3</v>
      </c>
      <c r="D58" s="17" t="s">
        <v>4</v>
      </c>
      <c r="E58" s="17" t="s">
        <v>5</v>
      </c>
      <c r="F58" s="17" t="s">
        <v>6</v>
      </c>
    </row>
    <row r="59" spans="1:6">
      <c r="A59" s="14" t="s">
        <v>25</v>
      </c>
      <c r="B59" s="14">
        <f t="shared" ref="B59:F59" si="15">B30</f>
        <v>365000</v>
      </c>
      <c r="C59" s="14">
        <f t="shared" si="15"/>
        <v>335000</v>
      </c>
      <c r="D59" s="14">
        <f t="shared" si="15"/>
        <v>400000</v>
      </c>
      <c r="E59" s="14">
        <f t="shared" si="15"/>
        <v>400000</v>
      </c>
      <c r="F59" s="14">
        <f t="shared" si="15"/>
        <v>1500000</v>
      </c>
    </row>
    <row r="60" spans="1:6">
      <c r="A60" s="14" t="s">
        <v>41</v>
      </c>
      <c r="B60" s="14">
        <v>6</v>
      </c>
      <c r="C60" s="14">
        <v>6</v>
      </c>
      <c r="D60" s="14">
        <v>6</v>
      </c>
      <c r="E60" s="14">
        <v>6</v>
      </c>
      <c r="F60" s="14">
        <v>6</v>
      </c>
    </row>
    <row r="61" spans="1:6">
      <c r="A61" s="14" t="s">
        <v>42</v>
      </c>
      <c r="B61" s="14">
        <f t="shared" ref="B61:F61" si="16">B59*B60</f>
        <v>2190000</v>
      </c>
      <c r="C61" s="14">
        <f t="shared" si="16"/>
        <v>2010000</v>
      </c>
      <c r="D61" s="14">
        <f t="shared" si="16"/>
        <v>2400000</v>
      </c>
      <c r="E61" s="14">
        <f t="shared" si="16"/>
        <v>2400000</v>
      </c>
      <c r="F61" s="14">
        <f t="shared" si="16"/>
        <v>9000000</v>
      </c>
    </row>
    <row r="62" spans="1:6">
      <c r="A62" s="14" t="s">
        <v>43</v>
      </c>
      <c r="B62" s="14">
        <v>1000000</v>
      </c>
      <c r="C62" s="14">
        <v>1000000</v>
      </c>
      <c r="D62" s="14">
        <v>1000000</v>
      </c>
      <c r="E62" s="14">
        <v>1000000</v>
      </c>
      <c r="F62" s="14">
        <f>SUM(B62:E62)</f>
        <v>4000000</v>
      </c>
    </row>
    <row r="63" spans="1:6">
      <c r="A63" s="14" t="s">
        <v>44</v>
      </c>
      <c r="B63" s="14">
        <f t="shared" ref="B63:F63" si="17">B61+B62</f>
        <v>3190000</v>
      </c>
      <c r="C63" s="14">
        <f t="shared" si="17"/>
        <v>3010000</v>
      </c>
      <c r="D63" s="14">
        <f t="shared" si="17"/>
        <v>3400000</v>
      </c>
      <c r="E63" s="14">
        <f t="shared" si="17"/>
        <v>3400000</v>
      </c>
      <c r="F63" s="14">
        <f t="shared" si="17"/>
        <v>13000000</v>
      </c>
    </row>
    <row r="64" spans="1:6">
      <c r="A64" s="14" t="s">
        <v>45</v>
      </c>
      <c r="B64" s="14">
        <v>350000</v>
      </c>
      <c r="C64" s="14">
        <v>350000</v>
      </c>
      <c r="D64" s="14">
        <v>350000</v>
      </c>
      <c r="E64" s="14">
        <v>350000</v>
      </c>
      <c r="F64" s="14">
        <f>SUM(B64:E64)</f>
        <v>1400000</v>
      </c>
    </row>
    <row r="65" spans="1:6">
      <c r="A65" s="14" t="s">
        <v>46</v>
      </c>
      <c r="B65" s="14">
        <f t="shared" ref="B65:F65" si="18">B63-B64</f>
        <v>2840000</v>
      </c>
      <c r="C65" s="14">
        <f t="shared" si="18"/>
        <v>2660000</v>
      </c>
      <c r="D65" s="14">
        <f t="shared" si="18"/>
        <v>3050000</v>
      </c>
      <c r="E65" s="14">
        <f t="shared" si="18"/>
        <v>3050000</v>
      </c>
      <c r="F65" s="14">
        <f t="shared" si="18"/>
        <v>11600000</v>
      </c>
    </row>
    <row r="67" spans="1:6">
      <c r="A67" s="13" t="s">
        <v>47</v>
      </c>
      <c r="B67" s="13"/>
      <c r="C67" s="13"/>
      <c r="D67" s="13"/>
      <c r="E67" s="13"/>
      <c r="F67" s="13"/>
    </row>
    <row r="68" spans="1:7">
      <c r="A68" s="14" t="s">
        <v>1</v>
      </c>
      <c r="B68" s="17" t="s">
        <v>2</v>
      </c>
      <c r="C68" s="17" t="s">
        <v>3</v>
      </c>
      <c r="D68" s="17" t="s">
        <v>4</v>
      </c>
      <c r="E68" s="17" t="s">
        <v>5</v>
      </c>
      <c r="F68" s="17" t="s">
        <v>6</v>
      </c>
      <c r="G68" t="s">
        <v>48</v>
      </c>
    </row>
    <row r="69" spans="1:7">
      <c r="A69" s="14" t="s">
        <v>49</v>
      </c>
      <c r="B69" s="14">
        <f t="shared" ref="B69:F69" si="19">B20*$G$69</f>
        <v>600000</v>
      </c>
      <c r="C69" s="14">
        <f t="shared" si="19"/>
        <v>650000</v>
      </c>
      <c r="D69" s="14">
        <f t="shared" si="19"/>
        <v>750000</v>
      </c>
      <c r="E69" s="14">
        <f t="shared" si="19"/>
        <v>900000</v>
      </c>
      <c r="F69" s="14">
        <f t="shared" si="19"/>
        <v>2900000</v>
      </c>
      <c r="G69">
        <v>10</v>
      </c>
    </row>
    <row r="70" spans="1:6">
      <c r="A70" s="14" t="s">
        <v>50</v>
      </c>
      <c r="B70" s="14">
        <v>250000</v>
      </c>
      <c r="C70" s="14">
        <v>250000</v>
      </c>
      <c r="D70" s="14">
        <v>250000</v>
      </c>
      <c r="E70" s="14">
        <v>250000</v>
      </c>
      <c r="F70" s="14">
        <f>SUM(B70:E70)</f>
        <v>1000000</v>
      </c>
    </row>
    <row r="71" spans="1:6">
      <c r="A71" s="14" t="s">
        <v>17</v>
      </c>
      <c r="B71" s="14">
        <f t="shared" ref="B71:F71" si="20">SUM(B69:B70)</f>
        <v>850000</v>
      </c>
      <c r="C71" s="14">
        <f t="shared" si="20"/>
        <v>900000</v>
      </c>
      <c r="D71" s="14">
        <f t="shared" si="20"/>
        <v>1000000</v>
      </c>
      <c r="E71" s="14">
        <f t="shared" si="20"/>
        <v>1150000</v>
      </c>
      <c r="F71" s="14">
        <f t="shared" si="20"/>
        <v>3900000</v>
      </c>
    </row>
    <row r="72" spans="1:6">
      <c r="A72" s="14" t="s">
        <v>45</v>
      </c>
      <c r="B72" s="14">
        <v>50000</v>
      </c>
      <c r="C72" s="14">
        <v>50000</v>
      </c>
      <c r="D72" s="14">
        <v>50000</v>
      </c>
      <c r="E72" s="14">
        <v>50000</v>
      </c>
      <c r="F72" s="14">
        <f>SUM(B72:E72)</f>
        <v>200000</v>
      </c>
    </row>
    <row r="73" spans="1:6">
      <c r="A73" s="14" t="s">
        <v>51</v>
      </c>
      <c r="B73" s="14">
        <f t="shared" ref="B73:F73" si="21">B71-B72</f>
        <v>800000</v>
      </c>
      <c r="C73" s="14">
        <f t="shared" si="21"/>
        <v>850000</v>
      </c>
      <c r="D73" s="14">
        <f t="shared" si="21"/>
        <v>950000</v>
      </c>
      <c r="E73" s="14">
        <f t="shared" si="21"/>
        <v>1100000</v>
      </c>
      <c r="F73" s="14">
        <f t="shared" si="21"/>
        <v>3700000</v>
      </c>
    </row>
    <row r="75" spans="1:4">
      <c r="A75" s="13" t="s">
        <v>52</v>
      </c>
      <c r="B75" s="13"/>
      <c r="C75" s="13"/>
      <c r="D75" s="13"/>
    </row>
    <row r="76" spans="1:4">
      <c r="A76" s="14" t="s">
        <v>1</v>
      </c>
      <c r="B76" s="14"/>
      <c r="C76" s="14" t="s">
        <v>53</v>
      </c>
      <c r="D76" s="14">
        <v>10000</v>
      </c>
    </row>
    <row r="77" spans="1:4">
      <c r="A77" s="14" t="s">
        <v>54</v>
      </c>
      <c r="B77" s="14">
        <f>B37*B43</f>
        <v>240</v>
      </c>
      <c r="C77" s="14" t="s">
        <v>55</v>
      </c>
      <c r="D77" s="16">
        <f>D76*B81</f>
        <v>3333333.33333333</v>
      </c>
    </row>
    <row r="78" spans="1:4">
      <c r="A78" s="14" t="s">
        <v>56</v>
      </c>
      <c r="B78" s="14">
        <f>B29*B31</f>
        <v>50</v>
      </c>
      <c r="C78" s="14" t="s">
        <v>57</v>
      </c>
      <c r="D78" s="16">
        <f>B81*F3</f>
        <v>96666666.6666667</v>
      </c>
    </row>
    <row r="79" spans="1:4">
      <c r="A79" s="14" t="s">
        <v>58</v>
      </c>
      <c r="B79" s="14">
        <f>B60*B29</f>
        <v>30</v>
      </c>
      <c r="C79" s="14"/>
      <c r="D79" s="14"/>
    </row>
    <row r="80" spans="1:4">
      <c r="A80" s="14" t="s">
        <v>43</v>
      </c>
      <c r="B80" s="16">
        <f>F62/F36</f>
        <v>13.3333333333333</v>
      </c>
      <c r="C80" s="14"/>
      <c r="D80" s="14"/>
    </row>
    <row r="81" spans="1:4">
      <c r="A81" s="14" t="s">
        <v>17</v>
      </c>
      <c r="B81" s="16">
        <f>SUM(B77:B80)</f>
        <v>333.333333333333</v>
      </c>
      <c r="C81" s="14"/>
      <c r="D81" s="14"/>
    </row>
    <row r="84" spans="1:4">
      <c r="A84" s="50" t="s">
        <v>59</v>
      </c>
      <c r="D84" t="s">
        <v>60</v>
      </c>
    </row>
    <row r="85" spans="1:9">
      <c r="A85" s="14" t="s">
        <v>1</v>
      </c>
      <c r="B85" s="14" t="s">
        <v>61</v>
      </c>
      <c r="D85" s="14" t="s">
        <v>1</v>
      </c>
      <c r="E85" s="14" t="s">
        <v>62</v>
      </c>
      <c r="F85" s="14" t="s">
        <v>63</v>
      </c>
      <c r="G85" s="14" t="s">
        <v>64</v>
      </c>
      <c r="H85" s="14" t="s">
        <v>65</v>
      </c>
      <c r="I85" s="14" t="s">
        <v>66</v>
      </c>
    </row>
    <row r="86" spans="1:9">
      <c r="A86" s="14" t="s">
        <v>9</v>
      </c>
      <c r="B86" s="14">
        <f>F5</f>
        <v>116000000</v>
      </c>
      <c r="D86" s="14" t="s">
        <v>67</v>
      </c>
      <c r="E86" s="14">
        <v>250000</v>
      </c>
      <c r="F86" s="14">
        <f t="shared" ref="F86:H86" si="22">E103</f>
        <v>568000</v>
      </c>
      <c r="G86" s="14">
        <f t="shared" si="22"/>
        <v>2056000</v>
      </c>
      <c r="H86" s="14">
        <f t="shared" si="22"/>
        <v>5048000</v>
      </c>
      <c r="I86" s="14">
        <f>E86</f>
        <v>250000</v>
      </c>
    </row>
    <row r="87" spans="1:10">
      <c r="A87" s="14" t="s">
        <v>68</v>
      </c>
      <c r="B87" s="16">
        <f>D78</f>
        <v>96666666.6666667</v>
      </c>
      <c r="D87" s="14" t="s">
        <v>69</v>
      </c>
      <c r="E87" s="14">
        <f t="shared" ref="E87:I87" si="23">B16</f>
        <v>23700000</v>
      </c>
      <c r="F87" s="14">
        <f t="shared" si="23"/>
        <v>25700000</v>
      </c>
      <c r="G87" s="14">
        <f t="shared" si="23"/>
        <v>29400000</v>
      </c>
      <c r="H87" s="14">
        <f t="shared" si="23"/>
        <v>35100000</v>
      </c>
      <c r="I87" s="14">
        <f t="shared" si="23"/>
        <v>113900000</v>
      </c>
      <c r="J87">
        <f>SUM(E87:H87)</f>
        <v>113900000</v>
      </c>
    </row>
    <row r="88" spans="1:9">
      <c r="A88" s="14" t="s">
        <v>70</v>
      </c>
      <c r="B88" s="16">
        <f>B86-B87</f>
        <v>19333333.3333333</v>
      </c>
      <c r="D88" s="14" t="s">
        <v>71</v>
      </c>
      <c r="E88" s="14">
        <f t="shared" ref="E88:I88" si="24">SUM(E86:E87)</f>
        <v>23950000</v>
      </c>
      <c r="F88" s="14">
        <f t="shared" si="24"/>
        <v>26268000</v>
      </c>
      <c r="G88" s="14">
        <f t="shared" si="24"/>
        <v>31456000</v>
      </c>
      <c r="H88" s="14">
        <f t="shared" si="24"/>
        <v>40148000</v>
      </c>
      <c r="I88" s="14">
        <f t="shared" si="24"/>
        <v>114150000</v>
      </c>
    </row>
    <row r="89" spans="1:9">
      <c r="A89" s="14" t="s">
        <v>72</v>
      </c>
      <c r="B89" s="16">
        <f>F71</f>
        <v>3900000</v>
      </c>
      <c r="D89" s="14" t="s">
        <v>73</v>
      </c>
      <c r="E89" s="14"/>
      <c r="F89" s="14"/>
      <c r="G89" s="14"/>
      <c r="H89" s="14"/>
      <c r="I89" s="14"/>
    </row>
    <row r="90" spans="1:9">
      <c r="A90" s="14" t="s">
        <v>74</v>
      </c>
      <c r="B90" s="16">
        <v>0</v>
      </c>
      <c r="D90" s="14" t="s">
        <v>75</v>
      </c>
      <c r="E90" s="14">
        <f t="shared" ref="E90:I90" si="25">B55</f>
        <v>15792000</v>
      </c>
      <c r="F90" s="14">
        <f t="shared" si="25"/>
        <v>17052000</v>
      </c>
      <c r="G90" s="14">
        <f t="shared" si="25"/>
        <v>18108000</v>
      </c>
      <c r="H90" s="14">
        <f t="shared" si="25"/>
        <v>18948000</v>
      </c>
      <c r="I90" s="14">
        <f t="shared" si="25"/>
        <v>69900000</v>
      </c>
    </row>
    <row r="91" spans="1:9">
      <c r="A91" s="14" t="s">
        <v>76</v>
      </c>
      <c r="B91" s="16">
        <f>B88-B89-B90</f>
        <v>15433333.3333333</v>
      </c>
      <c r="D91" s="14" t="s">
        <v>56</v>
      </c>
      <c r="E91" s="14">
        <f t="shared" ref="E91:I91" si="26">B32</f>
        <v>3650000</v>
      </c>
      <c r="F91" s="14">
        <f t="shared" si="26"/>
        <v>3350000</v>
      </c>
      <c r="G91" s="14">
        <f t="shared" si="26"/>
        <v>4000000</v>
      </c>
      <c r="H91" s="14">
        <f t="shared" si="26"/>
        <v>4000000</v>
      </c>
      <c r="I91" s="14">
        <f t="shared" si="26"/>
        <v>15000000</v>
      </c>
    </row>
    <row r="92" spans="1:9">
      <c r="A92" s="14" t="s">
        <v>77</v>
      </c>
      <c r="B92" s="16">
        <f>B91*0.25</f>
        <v>3858333.33333334</v>
      </c>
      <c r="D92" s="14" t="s">
        <v>78</v>
      </c>
      <c r="E92" s="14">
        <f t="shared" ref="E92:I92" si="27">B65</f>
        <v>2840000</v>
      </c>
      <c r="F92" s="14">
        <f t="shared" si="27"/>
        <v>2660000</v>
      </c>
      <c r="G92" s="14">
        <f t="shared" si="27"/>
        <v>3050000</v>
      </c>
      <c r="H92" s="14">
        <f t="shared" si="27"/>
        <v>3050000</v>
      </c>
      <c r="I92" s="14">
        <f t="shared" si="27"/>
        <v>11600000</v>
      </c>
    </row>
    <row r="93" spans="1:9">
      <c r="A93" s="14" t="s">
        <v>79</v>
      </c>
      <c r="B93" s="16">
        <f>B91-B92</f>
        <v>11575000</v>
      </c>
      <c r="D93" s="14" t="s">
        <v>72</v>
      </c>
      <c r="E93" s="14">
        <f t="shared" ref="E93:I93" si="28">B73</f>
        <v>800000</v>
      </c>
      <c r="F93" s="14">
        <f t="shared" si="28"/>
        <v>850000</v>
      </c>
      <c r="G93" s="14">
        <f t="shared" si="28"/>
        <v>950000</v>
      </c>
      <c r="H93" s="14">
        <f t="shared" si="28"/>
        <v>1100000</v>
      </c>
      <c r="I93" s="14">
        <f t="shared" si="28"/>
        <v>3700000</v>
      </c>
    </row>
    <row r="94" spans="1:9">
      <c r="A94" s="14" t="s">
        <v>80</v>
      </c>
      <c r="B94" s="16">
        <f>I94</f>
        <v>1200000</v>
      </c>
      <c r="D94" s="14" t="s">
        <v>81</v>
      </c>
      <c r="E94" s="14">
        <v>300000</v>
      </c>
      <c r="F94" s="14">
        <v>300000</v>
      </c>
      <c r="G94" s="14">
        <v>300000</v>
      </c>
      <c r="H94" s="14">
        <v>300000</v>
      </c>
      <c r="I94" s="14">
        <f>SUM(E94:H94)</f>
        <v>1200000</v>
      </c>
    </row>
    <row r="95" spans="1:9">
      <c r="A95" s="14" t="s">
        <v>82</v>
      </c>
      <c r="B95" s="16">
        <f>B93-B94</f>
        <v>10375000</v>
      </c>
      <c r="D95" s="14" t="s">
        <v>83</v>
      </c>
      <c r="E95" s="14"/>
      <c r="F95" s="14"/>
      <c r="G95" s="14"/>
      <c r="H95" s="14">
        <v>2000000</v>
      </c>
      <c r="I95" s="14">
        <f>SUM(E95:H95)</f>
        <v>2000000</v>
      </c>
    </row>
    <row r="96" spans="4:9">
      <c r="D96" s="14" t="s">
        <v>84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</row>
    <row r="97" spans="4:9">
      <c r="D97" s="14" t="s">
        <v>85</v>
      </c>
      <c r="E97" s="14">
        <f t="shared" ref="E97:I97" si="29">SUM(E90:E96)</f>
        <v>23382000</v>
      </c>
      <c r="F97" s="14">
        <f t="shared" si="29"/>
        <v>24212000</v>
      </c>
      <c r="G97" s="14">
        <f t="shared" si="29"/>
        <v>26408000</v>
      </c>
      <c r="H97" s="14">
        <f t="shared" si="29"/>
        <v>29398000</v>
      </c>
      <c r="I97" s="14">
        <f t="shared" si="29"/>
        <v>103400000</v>
      </c>
    </row>
    <row r="98" spans="4:9">
      <c r="D98" s="14" t="s">
        <v>86</v>
      </c>
      <c r="E98" s="14">
        <f t="shared" ref="E98:I98" si="30">E88-E97</f>
        <v>568000</v>
      </c>
      <c r="F98" s="14">
        <f t="shared" si="30"/>
        <v>2056000</v>
      </c>
      <c r="G98" s="14">
        <f t="shared" si="30"/>
        <v>5048000</v>
      </c>
      <c r="H98" s="14">
        <f t="shared" si="30"/>
        <v>10750000</v>
      </c>
      <c r="I98" s="14">
        <f t="shared" si="30"/>
        <v>10750000</v>
      </c>
    </row>
    <row r="99" spans="4:9">
      <c r="D99" s="14" t="s">
        <v>87</v>
      </c>
      <c r="E99" s="14">
        <v>20000</v>
      </c>
      <c r="F99" s="14">
        <f>E99</f>
        <v>20000</v>
      </c>
      <c r="G99" s="14">
        <f>E99</f>
        <v>20000</v>
      </c>
      <c r="H99" s="14">
        <f>E99</f>
        <v>20000</v>
      </c>
      <c r="I99" s="14"/>
    </row>
    <row r="100" spans="4:9">
      <c r="D100" s="14" t="s">
        <v>88</v>
      </c>
      <c r="E100" s="14">
        <v>0</v>
      </c>
      <c r="F100" s="14"/>
      <c r="G100" s="14"/>
      <c r="H100" s="14"/>
      <c r="I100" s="14">
        <f t="shared" ref="I100:I102" si="31">SUM(E100:H100)</f>
        <v>0</v>
      </c>
    </row>
    <row r="101" spans="4:9">
      <c r="D101" s="14" t="s">
        <v>89</v>
      </c>
      <c r="E101" s="14">
        <v>0</v>
      </c>
      <c r="F101" s="14"/>
      <c r="G101" s="14"/>
      <c r="H101" s="14"/>
      <c r="I101" s="14">
        <f t="shared" si="31"/>
        <v>0</v>
      </c>
    </row>
    <row r="102" spans="4:9">
      <c r="D102" s="14" t="s">
        <v>90</v>
      </c>
      <c r="E102" s="14">
        <v>0</v>
      </c>
      <c r="F102" s="14"/>
      <c r="G102" s="14"/>
      <c r="H102" s="14"/>
      <c r="I102" s="14">
        <f t="shared" si="31"/>
        <v>0</v>
      </c>
    </row>
    <row r="103" spans="4:10">
      <c r="D103" s="14" t="s">
        <v>91</v>
      </c>
      <c r="E103" s="14">
        <f t="shared" ref="E103:H103" si="32">E98</f>
        <v>568000</v>
      </c>
      <c r="F103" s="14">
        <f t="shared" si="32"/>
        <v>2056000</v>
      </c>
      <c r="G103" s="14">
        <f t="shared" si="32"/>
        <v>5048000</v>
      </c>
      <c r="H103" s="14">
        <f t="shared" si="32"/>
        <v>10750000</v>
      </c>
      <c r="I103" s="14">
        <f>H103</f>
        <v>10750000</v>
      </c>
      <c r="J103">
        <f>I88-I97</f>
        <v>10750000</v>
      </c>
    </row>
    <row r="105" ht="42" customHeight="1" spans="1:4">
      <c r="A105" s="54" t="s">
        <v>92</v>
      </c>
      <c r="B105" s="13"/>
      <c r="C105" s="13"/>
      <c r="D105" s="13"/>
    </row>
    <row r="106" spans="1:4">
      <c r="A106" s="17" t="s">
        <v>1</v>
      </c>
      <c r="B106" s="14" t="s">
        <v>61</v>
      </c>
      <c r="C106" s="17" t="s">
        <v>1</v>
      </c>
      <c r="D106" s="14" t="s">
        <v>61</v>
      </c>
    </row>
    <row r="107" spans="1:4">
      <c r="A107" s="14" t="s">
        <v>93</v>
      </c>
      <c r="B107" s="14"/>
      <c r="C107" s="14" t="s">
        <v>94</v>
      </c>
      <c r="D107" s="14"/>
    </row>
    <row r="108" spans="1:4">
      <c r="A108" s="14" t="s">
        <v>95</v>
      </c>
      <c r="B108" s="14"/>
      <c r="C108" s="14" t="s">
        <v>96</v>
      </c>
      <c r="D108" s="14"/>
    </row>
    <row r="109" spans="1:4">
      <c r="A109" s="14" t="s">
        <v>97</v>
      </c>
      <c r="B109" s="14">
        <f>I103</f>
        <v>10750000</v>
      </c>
      <c r="C109" s="14" t="s">
        <v>98</v>
      </c>
      <c r="D109" s="14">
        <f>F54</f>
        <v>9348000</v>
      </c>
    </row>
    <row r="110" spans="1:4">
      <c r="A110" s="14" t="s">
        <v>99</v>
      </c>
      <c r="B110" s="14">
        <f>F15</f>
        <v>5400000</v>
      </c>
      <c r="C110" s="14" t="s">
        <v>100</v>
      </c>
      <c r="D110" s="16">
        <f>B92</f>
        <v>3858333.33333334</v>
      </c>
    </row>
    <row r="111" spans="1:4">
      <c r="A111" s="14" t="s">
        <v>101</v>
      </c>
      <c r="B111" s="14">
        <f>F39*F43</f>
        <v>5256000</v>
      </c>
      <c r="C111" s="14"/>
      <c r="D111" s="14"/>
    </row>
    <row r="112" spans="1:4">
      <c r="A112" s="14" t="s">
        <v>102</v>
      </c>
      <c r="B112" s="16">
        <f>D77</f>
        <v>3333333.33333333</v>
      </c>
      <c r="C112" s="14"/>
      <c r="D112" s="14"/>
    </row>
    <row r="113" spans="1:4">
      <c r="A113" s="14" t="s">
        <v>17</v>
      </c>
      <c r="B113" s="16">
        <f>SUM(B109:B112)</f>
        <v>24739333.3333333</v>
      </c>
      <c r="C113" s="14" t="s">
        <v>17</v>
      </c>
      <c r="D113" s="16">
        <f>SUM(D109:D112)</f>
        <v>13206333.3333333</v>
      </c>
    </row>
    <row r="114" spans="1:4">
      <c r="A114" s="14" t="s">
        <v>103</v>
      </c>
      <c r="B114" s="14"/>
      <c r="C114" s="14"/>
      <c r="D114" s="14"/>
    </row>
    <row r="115" spans="1:4">
      <c r="A115" s="14" t="s">
        <v>104</v>
      </c>
      <c r="B115" s="14">
        <f>I95+33500000</f>
        <v>35500000</v>
      </c>
      <c r="C115" s="14" t="s">
        <v>105</v>
      </c>
      <c r="D115" s="14">
        <v>27000000</v>
      </c>
    </row>
    <row r="116" spans="1:4">
      <c r="A116" s="14" t="s">
        <v>106</v>
      </c>
      <c r="B116" s="14">
        <f>F72+F64</f>
        <v>1600000</v>
      </c>
      <c r="C116" s="14" t="s">
        <v>82</v>
      </c>
      <c r="D116" s="14">
        <f>B95+8058000</f>
        <v>18433000</v>
      </c>
    </row>
    <row r="117" spans="1:4">
      <c r="A117" s="14"/>
      <c r="B117" s="14"/>
      <c r="C117" s="14"/>
      <c r="D117" s="14"/>
    </row>
    <row r="118" spans="1:4">
      <c r="A118" s="14" t="s">
        <v>17</v>
      </c>
      <c r="B118" s="14">
        <f>B115-B116</f>
        <v>33900000</v>
      </c>
      <c r="C118" s="14" t="s">
        <v>17</v>
      </c>
      <c r="D118" s="14">
        <f>SUM(D115:D117)</f>
        <v>45433000</v>
      </c>
    </row>
    <row r="119" spans="1:5">
      <c r="A119" s="14" t="s">
        <v>107</v>
      </c>
      <c r="B119" s="16">
        <f>B113+B118</f>
        <v>58639333.3333333</v>
      </c>
      <c r="C119" s="14" t="s">
        <v>108</v>
      </c>
      <c r="D119" s="16">
        <f>D113+D118</f>
        <v>58639333.3333333</v>
      </c>
      <c r="E119">
        <f>D119-B119</f>
        <v>0</v>
      </c>
    </row>
  </sheetData>
  <mergeCells count="10">
    <mergeCell ref="A1:F1"/>
    <mergeCell ref="A7:F7"/>
    <mergeCell ref="A18:F18"/>
    <mergeCell ref="A26:F26"/>
    <mergeCell ref="A34:F34"/>
    <mergeCell ref="A46:F46"/>
    <mergeCell ref="A57:F57"/>
    <mergeCell ref="A67:F67"/>
    <mergeCell ref="A75:D75"/>
    <mergeCell ref="A105:D105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3"/>
  <sheetViews>
    <sheetView topLeftCell="A73" workbookViewId="0">
      <selection activeCell="D110" sqref="D110"/>
    </sheetView>
  </sheetViews>
  <sheetFormatPr defaultColWidth="9" defaultRowHeight="13.5"/>
  <cols>
    <col min="1" max="1" width="15.875" customWidth="1"/>
    <col min="2" max="2" width="12.625"/>
    <col min="3" max="3" width="19.625" customWidth="1"/>
    <col min="4" max="5" width="12.625"/>
    <col min="8" max="8" width="12.625" customWidth="1"/>
  </cols>
  <sheetData>
    <row r="1" spans="1:1">
      <c r="A1" t="s">
        <v>109</v>
      </c>
    </row>
    <row r="2" spans="1:8">
      <c r="A2" s="14" t="s">
        <v>1</v>
      </c>
      <c r="B2" s="14" t="s">
        <v>110</v>
      </c>
      <c r="C2" s="14" t="s">
        <v>111</v>
      </c>
      <c r="D2" s="48" t="s">
        <v>112</v>
      </c>
      <c r="E2" s="48" t="s">
        <v>113</v>
      </c>
      <c r="F2" s="48" t="s">
        <v>114</v>
      </c>
      <c r="G2" s="14" t="s">
        <v>115</v>
      </c>
      <c r="H2" s="48" t="s">
        <v>116</v>
      </c>
    </row>
    <row r="3" spans="1:8">
      <c r="A3" s="14" t="s">
        <v>117</v>
      </c>
      <c r="B3" s="14">
        <v>24000</v>
      </c>
      <c r="C3" s="14">
        <v>28000</v>
      </c>
      <c r="D3" s="48">
        <v>35000</v>
      </c>
      <c r="E3" s="48">
        <v>45000</v>
      </c>
      <c r="F3" s="48">
        <v>60000</v>
      </c>
      <c r="G3">
        <v>40000</v>
      </c>
      <c r="H3" s="48">
        <f>SUM(D3:F3)</f>
        <v>140000</v>
      </c>
    </row>
    <row r="4" spans="1:8">
      <c r="A4" s="14" t="s">
        <v>118</v>
      </c>
      <c r="B4" s="14">
        <v>8</v>
      </c>
      <c r="C4" s="14">
        <v>8</v>
      </c>
      <c r="D4" s="48">
        <v>8</v>
      </c>
      <c r="E4" s="48">
        <v>8</v>
      </c>
      <c r="F4" s="48">
        <v>8</v>
      </c>
      <c r="G4">
        <v>8</v>
      </c>
      <c r="H4" s="48">
        <v>8</v>
      </c>
    </row>
    <row r="5" spans="1:8">
      <c r="A5" s="14" t="s">
        <v>119</v>
      </c>
      <c r="B5" s="14">
        <f t="shared" ref="B5:H5" si="0">B3*B4</f>
        <v>192000</v>
      </c>
      <c r="C5" s="14">
        <f t="shared" si="0"/>
        <v>224000</v>
      </c>
      <c r="D5" s="48">
        <f t="shared" si="0"/>
        <v>280000</v>
      </c>
      <c r="E5" s="48">
        <f t="shared" si="0"/>
        <v>360000</v>
      </c>
      <c r="F5" s="48">
        <f t="shared" si="0"/>
        <v>480000</v>
      </c>
      <c r="G5" s="14">
        <f t="shared" si="0"/>
        <v>320000</v>
      </c>
      <c r="H5" s="48">
        <f t="shared" si="0"/>
        <v>1120000</v>
      </c>
    </row>
    <row r="7" spans="1:1">
      <c r="A7" t="s">
        <v>120</v>
      </c>
    </row>
    <row r="8" spans="1:7">
      <c r="A8" s="14" t="s">
        <v>1</v>
      </c>
      <c r="B8" s="14" t="s">
        <v>110</v>
      </c>
      <c r="C8" s="14" t="s">
        <v>111</v>
      </c>
      <c r="D8" s="48" t="s">
        <v>112</v>
      </c>
      <c r="E8" s="48" t="s">
        <v>113</v>
      </c>
      <c r="F8" s="48" t="s">
        <v>114</v>
      </c>
      <c r="G8" s="14" t="s">
        <v>17</v>
      </c>
    </row>
    <row r="9" spans="1:7">
      <c r="A9" s="14" t="s">
        <v>121</v>
      </c>
      <c r="B9" s="14"/>
      <c r="C9" s="14"/>
      <c r="D9" s="48">
        <f>C5*0.75+B5*0.25</f>
        <v>216000</v>
      </c>
      <c r="E9" s="48">
        <f>D12</f>
        <v>266000</v>
      </c>
      <c r="F9" s="48">
        <f>E12</f>
        <v>340000</v>
      </c>
      <c r="G9" s="14">
        <f>D9</f>
        <v>216000</v>
      </c>
    </row>
    <row r="10" spans="1:7">
      <c r="A10" s="14" t="s">
        <v>122</v>
      </c>
      <c r="B10" s="14"/>
      <c r="C10" s="14"/>
      <c r="D10" s="48">
        <f>B5*0.25+C5*0.5</f>
        <v>160000</v>
      </c>
      <c r="E10" s="48">
        <f>C5*0.25+D5*0.5</f>
        <v>196000</v>
      </c>
      <c r="F10" s="48">
        <f>D5*0.25+E5*0.5</f>
        <v>250000</v>
      </c>
      <c r="G10" s="14">
        <f>SUM(D10:F10)</f>
        <v>606000</v>
      </c>
    </row>
    <row r="11" spans="1:7">
      <c r="A11" s="14" t="s">
        <v>123</v>
      </c>
      <c r="B11" s="14">
        <f t="shared" ref="B11:F11" si="1">B5*0.25</f>
        <v>48000</v>
      </c>
      <c r="C11" s="14">
        <f>B5*0.5</f>
        <v>96000</v>
      </c>
      <c r="D11" s="48">
        <f t="shared" si="1"/>
        <v>70000</v>
      </c>
      <c r="E11" s="48">
        <f t="shared" si="1"/>
        <v>90000</v>
      </c>
      <c r="F11" s="48">
        <f t="shared" si="1"/>
        <v>120000</v>
      </c>
      <c r="G11" s="14">
        <f>SUM(D11:F11)</f>
        <v>280000</v>
      </c>
    </row>
    <row r="12" spans="1:7">
      <c r="A12" s="14" t="s">
        <v>16</v>
      </c>
      <c r="B12" s="14"/>
      <c r="C12" s="14"/>
      <c r="D12" s="48">
        <f>C5*0.25+D5*0.75</f>
        <v>266000</v>
      </c>
      <c r="E12" s="48">
        <f>D5*0.25+E5*0.75</f>
        <v>340000</v>
      </c>
      <c r="F12" s="48">
        <f>E5*0.25+F5*0.75</f>
        <v>450000</v>
      </c>
      <c r="G12" s="14">
        <f>F12</f>
        <v>450000</v>
      </c>
    </row>
    <row r="13" spans="1:8">
      <c r="A13" s="14" t="s">
        <v>69</v>
      </c>
      <c r="B13" s="14"/>
      <c r="C13" s="14"/>
      <c r="D13" s="48">
        <f t="shared" ref="D13:G13" si="2">D10+D11</f>
        <v>230000</v>
      </c>
      <c r="E13" s="48">
        <f t="shared" si="2"/>
        <v>286000</v>
      </c>
      <c r="F13" s="48">
        <f t="shared" si="2"/>
        <v>370000</v>
      </c>
      <c r="G13" s="14">
        <f t="shared" si="2"/>
        <v>886000</v>
      </c>
      <c r="H13">
        <f>SUM(D13:F13)</f>
        <v>886000</v>
      </c>
    </row>
    <row r="15" spans="1:1">
      <c r="A15" t="s">
        <v>124</v>
      </c>
    </row>
    <row r="16" spans="1:8">
      <c r="A16" s="14" t="s">
        <v>1</v>
      </c>
      <c r="B16" s="14" t="s">
        <v>110</v>
      </c>
      <c r="C16" s="14" t="s">
        <v>111</v>
      </c>
      <c r="D16" s="48" t="s">
        <v>112</v>
      </c>
      <c r="E16" s="48" t="s">
        <v>113</v>
      </c>
      <c r="F16" s="48" t="s">
        <v>114</v>
      </c>
      <c r="G16" s="49" t="s">
        <v>115</v>
      </c>
      <c r="H16" s="48" t="s">
        <v>116</v>
      </c>
    </row>
    <row r="17" spans="1:8">
      <c r="A17" s="50" t="s">
        <v>117</v>
      </c>
      <c r="B17" s="50">
        <v>24000</v>
      </c>
      <c r="C17" s="50">
        <v>28000</v>
      </c>
      <c r="D17" s="51">
        <v>35000</v>
      </c>
      <c r="E17" s="51">
        <v>45000</v>
      </c>
      <c r="F17" s="51">
        <v>60000</v>
      </c>
      <c r="G17">
        <v>40000</v>
      </c>
      <c r="H17" s="48">
        <f>H3</f>
        <v>140000</v>
      </c>
    </row>
    <row r="18" spans="1:8">
      <c r="A18" s="14" t="s">
        <v>125</v>
      </c>
      <c r="B18" s="14">
        <f t="shared" ref="B18:F18" si="3">C17*0.9</f>
        <v>25200</v>
      </c>
      <c r="C18" s="14">
        <f t="shared" si="3"/>
        <v>31500</v>
      </c>
      <c r="D18" s="48">
        <f t="shared" si="3"/>
        <v>40500</v>
      </c>
      <c r="E18" s="48">
        <f t="shared" si="3"/>
        <v>54000</v>
      </c>
      <c r="F18" s="48">
        <f t="shared" si="3"/>
        <v>36000</v>
      </c>
      <c r="G18" s="14"/>
      <c r="H18" s="48">
        <f>F18</f>
        <v>36000</v>
      </c>
    </row>
    <row r="19" spans="1:8">
      <c r="A19" s="14" t="s">
        <v>126</v>
      </c>
      <c r="B19" s="14"/>
      <c r="C19" s="14">
        <f>B18</f>
        <v>25200</v>
      </c>
      <c r="D19" s="48">
        <f>C18</f>
        <v>31500</v>
      </c>
      <c r="E19" s="48">
        <f>D18</f>
        <v>40500</v>
      </c>
      <c r="F19" s="48">
        <f>E18</f>
        <v>54000</v>
      </c>
      <c r="G19" s="14"/>
      <c r="H19" s="48">
        <f>D19</f>
        <v>31500</v>
      </c>
    </row>
    <row r="20" spans="1:8">
      <c r="A20" s="14" t="s">
        <v>127</v>
      </c>
      <c r="B20" s="14"/>
      <c r="C20" s="14">
        <f t="shared" ref="C20:F20" si="4">C17+C18-C19</f>
        <v>34300</v>
      </c>
      <c r="D20" s="48">
        <f t="shared" si="4"/>
        <v>44000</v>
      </c>
      <c r="E20" s="48">
        <f t="shared" si="4"/>
        <v>58500</v>
      </c>
      <c r="F20" s="48">
        <f t="shared" si="4"/>
        <v>42000</v>
      </c>
      <c r="G20" s="14"/>
      <c r="H20" s="48">
        <f>H17+H18-H19</f>
        <v>144500</v>
      </c>
    </row>
    <row r="21" spans="1:8">
      <c r="A21" s="14" t="s">
        <v>128</v>
      </c>
      <c r="B21" s="14"/>
      <c r="C21" s="14">
        <v>5</v>
      </c>
      <c r="D21" s="48">
        <v>5</v>
      </c>
      <c r="E21" s="48">
        <v>5</v>
      </c>
      <c r="F21" s="48">
        <v>5</v>
      </c>
      <c r="G21" s="14"/>
      <c r="H21" s="48">
        <v>5</v>
      </c>
    </row>
    <row r="22" spans="1:9">
      <c r="A22" s="14" t="s">
        <v>129</v>
      </c>
      <c r="B22" s="14"/>
      <c r="C22" s="14">
        <f t="shared" ref="C22:F22" si="5">C20*C21</f>
        <v>171500</v>
      </c>
      <c r="D22" s="48">
        <f t="shared" si="5"/>
        <v>220000</v>
      </c>
      <c r="E22" s="48">
        <f t="shared" si="5"/>
        <v>292500</v>
      </c>
      <c r="F22" s="48">
        <f t="shared" si="5"/>
        <v>210000</v>
      </c>
      <c r="G22" s="14"/>
      <c r="H22" s="48">
        <f>H20*H21</f>
        <v>722500</v>
      </c>
      <c r="I22">
        <f>SUM(D22:F22)</f>
        <v>722500</v>
      </c>
    </row>
    <row r="24" spans="1:1">
      <c r="A24" t="s">
        <v>130</v>
      </c>
    </row>
    <row r="25" spans="1:8">
      <c r="A25" s="14" t="s">
        <v>1</v>
      </c>
      <c r="B25" s="14" t="s">
        <v>110</v>
      </c>
      <c r="C25" s="48" t="s">
        <v>112</v>
      </c>
      <c r="D25" s="48" t="s">
        <v>113</v>
      </c>
      <c r="E25" s="48" t="s">
        <v>114</v>
      </c>
      <c r="F25" s="14" t="s">
        <v>115</v>
      </c>
      <c r="G25" s="14" t="s">
        <v>115</v>
      </c>
      <c r="H25" s="48" t="s">
        <v>116</v>
      </c>
    </row>
    <row r="26" spans="1:8">
      <c r="A26" s="14" t="s">
        <v>131</v>
      </c>
      <c r="B26" s="14"/>
      <c r="C26" s="48">
        <f>C22*0.5</f>
        <v>85750</v>
      </c>
      <c r="D26" s="48">
        <f>C28</f>
        <v>110000</v>
      </c>
      <c r="E26" s="48">
        <f>D28</f>
        <v>146250</v>
      </c>
      <c r="F26" s="14">
        <f>E28</f>
        <v>105000</v>
      </c>
      <c r="G26" s="14"/>
      <c r="H26" s="48">
        <f>C26</f>
        <v>85750</v>
      </c>
    </row>
    <row r="27" spans="1:8">
      <c r="A27" s="14" t="s">
        <v>132</v>
      </c>
      <c r="B27" s="14"/>
      <c r="C27" s="48">
        <f>D22*0.5</f>
        <v>110000</v>
      </c>
      <c r="D27" s="48">
        <f>E22*0.5</f>
        <v>146250</v>
      </c>
      <c r="E27" s="48">
        <f>F22*0.5</f>
        <v>105000</v>
      </c>
      <c r="F27" s="14"/>
      <c r="G27" s="14"/>
      <c r="H27" s="48">
        <f>H22</f>
        <v>722500</v>
      </c>
    </row>
    <row r="28" spans="1:8">
      <c r="A28" s="14" t="s">
        <v>39</v>
      </c>
      <c r="B28" s="14"/>
      <c r="C28" s="48">
        <f>D22*0.5</f>
        <v>110000</v>
      </c>
      <c r="D28" s="48">
        <f>E22*0.5</f>
        <v>146250</v>
      </c>
      <c r="E28" s="48">
        <f>F22*0.5</f>
        <v>105000</v>
      </c>
      <c r="F28" s="14"/>
      <c r="G28" s="14"/>
      <c r="H28" s="48">
        <f>E28</f>
        <v>105000</v>
      </c>
    </row>
    <row r="29" spans="1:9">
      <c r="A29" s="14" t="s">
        <v>133</v>
      </c>
      <c r="B29" s="14"/>
      <c r="C29" s="48">
        <f>C26+C27</f>
        <v>195750</v>
      </c>
      <c r="D29" s="48">
        <f>D26+D27</f>
        <v>256250</v>
      </c>
      <c r="E29" s="48">
        <f>E26+E27</f>
        <v>251250</v>
      </c>
      <c r="F29" s="14"/>
      <c r="G29" s="14"/>
      <c r="H29" s="48">
        <f>H26+H27-H28</f>
        <v>703250</v>
      </c>
      <c r="I29">
        <f>SUM(C29:E29)</f>
        <v>703250</v>
      </c>
    </row>
    <row r="31" spans="1:1">
      <c r="A31" t="s">
        <v>134</v>
      </c>
    </row>
    <row r="32" spans="1:5">
      <c r="A32" s="14" t="s">
        <v>1</v>
      </c>
      <c r="B32" s="17" t="s">
        <v>112</v>
      </c>
      <c r="C32" s="17" t="s">
        <v>113</v>
      </c>
      <c r="D32" s="17" t="s">
        <v>114</v>
      </c>
      <c r="E32" s="17" t="s">
        <v>17</v>
      </c>
    </row>
    <row r="33" spans="1:5">
      <c r="A33" s="14" t="s">
        <v>135</v>
      </c>
      <c r="B33" s="14"/>
      <c r="C33" s="14"/>
      <c r="D33" s="14"/>
      <c r="E33" s="14"/>
    </row>
    <row r="34" spans="1:5">
      <c r="A34" s="14" t="s">
        <v>136</v>
      </c>
      <c r="B34" s="14">
        <v>1</v>
      </c>
      <c r="C34" s="14">
        <v>1</v>
      </c>
      <c r="D34" s="14">
        <v>1</v>
      </c>
      <c r="E34" s="14">
        <v>1</v>
      </c>
    </row>
    <row r="35" spans="1:5">
      <c r="A35" s="14" t="s">
        <v>137</v>
      </c>
      <c r="B35" s="14">
        <f>D17</f>
        <v>35000</v>
      </c>
      <c r="C35" s="14">
        <f>E17</f>
        <v>45000</v>
      </c>
      <c r="D35" s="14">
        <f>F17</f>
        <v>60000</v>
      </c>
      <c r="E35" s="14">
        <f>H17</f>
        <v>140000</v>
      </c>
    </row>
    <row r="36" spans="1:5">
      <c r="A36" s="14" t="s">
        <v>138</v>
      </c>
      <c r="B36" s="14">
        <f>B34*B35</f>
        <v>35000</v>
      </c>
      <c r="C36" s="14">
        <f>C34*C35</f>
        <v>45000</v>
      </c>
      <c r="D36" s="14">
        <f>D34*D35</f>
        <v>60000</v>
      </c>
      <c r="E36" s="14">
        <f>E34*E35</f>
        <v>140000</v>
      </c>
    </row>
    <row r="37" spans="1:5">
      <c r="A37" s="14" t="s">
        <v>139</v>
      </c>
      <c r="B37" s="14"/>
      <c r="C37" s="14"/>
      <c r="D37" s="14"/>
      <c r="E37" s="14"/>
    </row>
    <row r="38" spans="1:5">
      <c r="A38" s="14" t="s">
        <v>140</v>
      </c>
      <c r="B38" s="14">
        <v>36000</v>
      </c>
      <c r="C38" s="14">
        <v>36000</v>
      </c>
      <c r="D38" s="14">
        <v>36000</v>
      </c>
      <c r="E38" s="14">
        <f t="shared" ref="E38:E43" si="6">SUM(B38:D38)</f>
        <v>108000</v>
      </c>
    </row>
    <row r="39" spans="1:5">
      <c r="A39" s="14" t="s">
        <v>141</v>
      </c>
      <c r="B39" s="14">
        <v>100</v>
      </c>
      <c r="C39" s="14">
        <v>100</v>
      </c>
      <c r="D39" s="14">
        <v>100</v>
      </c>
      <c r="E39" s="14">
        <f t="shared" si="6"/>
        <v>300</v>
      </c>
    </row>
    <row r="40" spans="1:5">
      <c r="A40" s="14" t="s">
        <v>142</v>
      </c>
      <c r="B40" s="14">
        <v>1200</v>
      </c>
      <c r="C40" s="14">
        <v>1200</v>
      </c>
      <c r="D40" s="14">
        <v>1200</v>
      </c>
      <c r="E40" s="14">
        <f t="shared" si="6"/>
        <v>3600</v>
      </c>
    </row>
    <row r="41" spans="1:5">
      <c r="A41" s="14" t="s">
        <v>143</v>
      </c>
      <c r="B41" s="14">
        <v>1500</v>
      </c>
      <c r="C41" s="14">
        <v>1500</v>
      </c>
      <c r="D41" s="14">
        <v>1500</v>
      </c>
      <c r="E41" s="14">
        <f t="shared" si="6"/>
        <v>4500</v>
      </c>
    </row>
    <row r="42" spans="1:5">
      <c r="A42" s="14" t="s">
        <v>144</v>
      </c>
      <c r="B42" s="14">
        <v>2000</v>
      </c>
      <c r="C42" s="14">
        <v>2000</v>
      </c>
      <c r="D42" s="14">
        <v>2000</v>
      </c>
      <c r="E42" s="14">
        <f t="shared" si="6"/>
        <v>6000</v>
      </c>
    </row>
    <row r="43" spans="1:5">
      <c r="A43" s="49" t="s">
        <v>145</v>
      </c>
      <c r="B43" s="14">
        <f>SUM(B38:B42)</f>
        <v>40800</v>
      </c>
      <c r="C43" s="14">
        <f>SUM(C38:C42)</f>
        <v>40800</v>
      </c>
      <c r="D43" s="14">
        <f>SUM(D38:D42)</f>
        <v>40800</v>
      </c>
      <c r="E43" s="14">
        <f t="shared" si="6"/>
        <v>122400</v>
      </c>
    </row>
    <row r="44" spans="1:5">
      <c r="A44" t="s">
        <v>146</v>
      </c>
      <c r="B44" s="50">
        <f>B36+B43</f>
        <v>75800</v>
      </c>
      <c r="C44" s="50">
        <f>C36+C43</f>
        <v>85800</v>
      </c>
      <c r="D44" s="50">
        <f>D36+D43</f>
        <v>100800</v>
      </c>
      <c r="E44" s="50">
        <f>E36+E43</f>
        <v>262400</v>
      </c>
    </row>
    <row r="45" spans="1:6">
      <c r="A45" s="14" t="s">
        <v>147</v>
      </c>
      <c r="B45" s="14">
        <f>B44-B41-B40</f>
        <v>73100</v>
      </c>
      <c r="C45" s="14">
        <f>C44-C41-C40</f>
        <v>83100</v>
      </c>
      <c r="D45" s="14">
        <f>D44-D41-D40</f>
        <v>98100</v>
      </c>
      <c r="E45" s="14">
        <f>E44-E41-E40</f>
        <v>254300</v>
      </c>
      <c r="F45">
        <f>SUM(B45:D45)</f>
        <v>254300</v>
      </c>
    </row>
    <row r="48" spans="1:1">
      <c r="A48" t="s">
        <v>148</v>
      </c>
    </row>
    <row r="49" spans="1:5">
      <c r="A49" s="52" t="s">
        <v>1</v>
      </c>
      <c r="B49" s="53" t="s">
        <v>112</v>
      </c>
      <c r="C49" s="53" t="s">
        <v>113</v>
      </c>
      <c r="D49" s="53" t="s">
        <v>114</v>
      </c>
      <c r="E49" s="53" t="s">
        <v>17</v>
      </c>
    </row>
    <row r="50" spans="1:5">
      <c r="A50" s="52" t="s">
        <v>67</v>
      </c>
      <c r="B50" s="14">
        <v>14000</v>
      </c>
      <c r="C50" s="14">
        <f>B64</f>
        <v>10150</v>
      </c>
      <c r="D50" s="14">
        <f>C64</f>
        <v>10800</v>
      </c>
      <c r="E50" s="14">
        <f>B50</f>
        <v>14000</v>
      </c>
    </row>
    <row r="51" spans="1:5">
      <c r="A51" s="52" t="s">
        <v>69</v>
      </c>
      <c r="B51" s="14">
        <f>D13</f>
        <v>230000</v>
      </c>
      <c r="C51" s="14">
        <f>E13</f>
        <v>286000</v>
      </c>
      <c r="D51" s="14">
        <f>F13</f>
        <v>370000</v>
      </c>
      <c r="E51" s="14">
        <f t="shared" ref="E51:E57" si="7">SUM(B51:D51)</f>
        <v>886000</v>
      </c>
    </row>
    <row r="52" spans="1:5">
      <c r="A52" s="52" t="s">
        <v>71</v>
      </c>
      <c r="B52" s="14">
        <f>B50+B51</f>
        <v>244000</v>
      </c>
      <c r="C52" s="14">
        <f>C50+C51</f>
        <v>296150</v>
      </c>
      <c r="D52" s="14">
        <f>D50+D51</f>
        <v>380800</v>
      </c>
      <c r="E52" s="14">
        <f>E50+E51</f>
        <v>900000</v>
      </c>
    </row>
    <row r="53" spans="1:5">
      <c r="A53" s="52" t="s">
        <v>73</v>
      </c>
      <c r="B53" s="14"/>
      <c r="C53" s="14"/>
      <c r="D53" s="14"/>
      <c r="E53" s="14"/>
    </row>
    <row r="54" spans="1:5">
      <c r="A54" s="52" t="s">
        <v>149</v>
      </c>
      <c r="B54" s="14">
        <f>C29</f>
        <v>195750</v>
      </c>
      <c r="C54" s="14">
        <f>D29</f>
        <v>256250</v>
      </c>
      <c r="D54" s="14">
        <f>E29</f>
        <v>251250</v>
      </c>
      <c r="E54" s="14">
        <f t="shared" si="7"/>
        <v>703250</v>
      </c>
    </row>
    <row r="55" spans="1:5">
      <c r="A55" s="52" t="s">
        <v>150</v>
      </c>
      <c r="B55" s="14">
        <f>B45</f>
        <v>73100</v>
      </c>
      <c r="C55" s="14">
        <f>C45</f>
        <v>83100</v>
      </c>
      <c r="D55" s="14">
        <f>D45</f>
        <v>98100</v>
      </c>
      <c r="E55" s="14">
        <f>E45</f>
        <v>254300</v>
      </c>
    </row>
    <row r="56" spans="1:5">
      <c r="A56" s="52" t="s">
        <v>151</v>
      </c>
      <c r="B56" s="14"/>
      <c r="C56" s="14">
        <v>25000</v>
      </c>
      <c r="D56" s="14"/>
      <c r="E56" s="14">
        <f t="shared" si="7"/>
        <v>25000</v>
      </c>
    </row>
    <row r="57" spans="1:5">
      <c r="A57" s="52" t="s">
        <v>152</v>
      </c>
      <c r="B57" s="14">
        <f>12000</f>
        <v>12000</v>
      </c>
      <c r="C57" s="14"/>
      <c r="D57" s="14"/>
      <c r="E57" s="14">
        <f t="shared" si="7"/>
        <v>12000</v>
      </c>
    </row>
    <row r="58" spans="1:6">
      <c r="A58" s="52" t="s">
        <v>85</v>
      </c>
      <c r="B58" s="14">
        <f>SUM(B54:B57)</f>
        <v>280850</v>
      </c>
      <c r="C58" s="14">
        <f>SUM(C54:C57)</f>
        <v>364350</v>
      </c>
      <c r="D58" s="14">
        <f>SUM(D54:D57)</f>
        <v>349350</v>
      </c>
      <c r="E58" s="14">
        <f>SUM(E54:E57)</f>
        <v>994550</v>
      </c>
      <c r="F58">
        <f>SUM(B58:D58)</f>
        <v>994550</v>
      </c>
    </row>
    <row r="59" spans="1:5">
      <c r="A59" s="52" t="s">
        <v>86</v>
      </c>
      <c r="B59" s="14">
        <f>B52-B58</f>
        <v>-36850</v>
      </c>
      <c r="C59" s="14">
        <f>C52-C58</f>
        <v>-68200</v>
      </c>
      <c r="D59" s="14">
        <f>D52-D58</f>
        <v>31450</v>
      </c>
      <c r="E59" s="14">
        <f>E52-E58</f>
        <v>-94550</v>
      </c>
    </row>
    <row r="60" spans="1:5">
      <c r="A60" s="52" t="s">
        <v>87</v>
      </c>
      <c r="B60" s="14">
        <v>10000</v>
      </c>
      <c r="C60" s="14">
        <v>10000</v>
      </c>
      <c r="D60" s="14">
        <v>10000</v>
      </c>
      <c r="E60" s="14">
        <v>10000</v>
      </c>
    </row>
    <row r="61" spans="1:5">
      <c r="A61" s="52" t="s">
        <v>88</v>
      </c>
      <c r="B61" s="14">
        <v>47000</v>
      </c>
      <c r="C61" s="14">
        <v>79000</v>
      </c>
      <c r="D61" s="14">
        <v>0</v>
      </c>
      <c r="E61" s="16">
        <f t="shared" ref="E61:E63" si="8">SUM(B61:D61)</f>
        <v>126000</v>
      </c>
    </row>
    <row r="62" spans="1:5">
      <c r="A62" s="52" t="s">
        <v>89</v>
      </c>
      <c r="B62" s="14"/>
      <c r="C62" s="14"/>
      <c r="D62" s="14">
        <f>18000</f>
        <v>18000</v>
      </c>
      <c r="E62" s="16">
        <f t="shared" si="8"/>
        <v>18000</v>
      </c>
    </row>
    <row r="63" spans="1:5">
      <c r="A63" s="52" t="s">
        <v>90</v>
      </c>
      <c r="B63" s="14"/>
      <c r="C63" s="14"/>
      <c r="D63" s="16">
        <f>D62*0.1/4</f>
        <v>450</v>
      </c>
      <c r="E63" s="16">
        <f t="shared" si="8"/>
        <v>450</v>
      </c>
    </row>
    <row r="64" spans="1:5">
      <c r="A64" s="52" t="s">
        <v>91</v>
      </c>
      <c r="B64" s="14">
        <f>B61+B59</f>
        <v>10150</v>
      </c>
      <c r="C64" s="14">
        <f>C61+C59</f>
        <v>10800</v>
      </c>
      <c r="D64" s="16">
        <f>D59-D63-D62</f>
        <v>13000</v>
      </c>
      <c r="E64" s="16">
        <f>E59+E61-E62-E63</f>
        <v>13000</v>
      </c>
    </row>
    <row r="66" spans="1:1">
      <c r="A66" t="s">
        <v>153</v>
      </c>
    </row>
    <row r="67" spans="1:5">
      <c r="A67" s="52" t="s">
        <v>1</v>
      </c>
      <c r="B67" s="53" t="s">
        <v>112</v>
      </c>
      <c r="C67" s="53" t="s">
        <v>113</v>
      </c>
      <c r="D67" s="53" t="s">
        <v>114</v>
      </c>
      <c r="E67" s="53" t="s">
        <v>17</v>
      </c>
    </row>
    <row r="68" spans="1:5">
      <c r="A68" s="52" t="s">
        <v>9</v>
      </c>
      <c r="B68" s="14">
        <f>D5</f>
        <v>280000</v>
      </c>
      <c r="C68" s="14">
        <f>E5</f>
        <v>360000</v>
      </c>
      <c r="D68" s="14">
        <f>F5</f>
        <v>480000</v>
      </c>
      <c r="E68" s="14">
        <f t="shared" ref="E68:E72" si="9">SUM(B68:D68)</f>
        <v>1120000</v>
      </c>
    </row>
    <row r="69" spans="1:5">
      <c r="A69" s="52" t="s">
        <v>68</v>
      </c>
      <c r="B69" s="14">
        <f>D17*5</f>
        <v>175000</v>
      </c>
      <c r="C69" s="14">
        <f>E17*5</f>
        <v>225000</v>
      </c>
      <c r="D69" s="14">
        <f>F17*5</f>
        <v>300000</v>
      </c>
      <c r="E69" s="14">
        <f t="shared" si="9"/>
        <v>700000</v>
      </c>
    </row>
    <row r="70" spans="1:5">
      <c r="A70" s="52" t="s">
        <v>70</v>
      </c>
      <c r="B70" s="14">
        <f>B68-B69</f>
        <v>105000</v>
      </c>
      <c r="C70" s="14">
        <f>C68-C69</f>
        <v>135000</v>
      </c>
      <c r="D70" s="14">
        <f>D68-D69</f>
        <v>180000</v>
      </c>
      <c r="E70" s="14">
        <f>E68-E69</f>
        <v>420000</v>
      </c>
    </row>
    <row r="71" spans="1:5">
      <c r="A71" s="52" t="s">
        <v>72</v>
      </c>
      <c r="B71" s="14">
        <f>B44</f>
        <v>75800</v>
      </c>
      <c r="C71" s="14">
        <f>C44</f>
        <v>85800</v>
      </c>
      <c r="D71" s="14">
        <f>D44</f>
        <v>100800</v>
      </c>
      <c r="E71" s="14">
        <f>E44</f>
        <v>262400</v>
      </c>
    </row>
    <row r="72" spans="1:5">
      <c r="A72" s="52" t="s">
        <v>74</v>
      </c>
      <c r="B72" s="16">
        <f>B61*0.1/12</f>
        <v>391.666666666667</v>
      </c>
      <c r="C72" s="16">
        <f>E61*0.1/12</f>
        <v>1050</v>
      </c>
      <c r="D72" s="16">
        <f>E61*0.1/12</f>
        <v>1050</v>
      </c>
      <c r="E72" s="16">
        <f t="shared" si="9"/>
        <v>2491.66666666667</v>
      </c>
    </row>
    <row r="73" spans="1:5">
      <c r="A73" s="52" t="s">
        <v>76</v>
      </c>
      <c r="B73" s="16">
        <f>B70-B71-B72</f>
        <v>28808.3333333333</v>
      </c>
      <c r="C73" s="16">
        <f>C70-C71-C72</f>
        <v>48150</v>
      </c>
      <c r="D73" s="16">
        <f>D70-D71-D72</f>
        <v>78150</v>
      </c>
      <c r="E73" s="16">
        <f>E70-E71-E72</f>
        <v>155108.333333333</v>
      </c>
    </row>
    <row r="74" spans="1:5">
      <c r="A74" s="52" t="s">
        <v>152</v>
      </c>
      <c r="B74" s="14">
        <v>4000</v>
      </c>
      <c r="C74" s="14">
        <v>4000</v>
      </c>
      <c r="D74" s="14">
        <v>4000</v>
      </c>
      <c r="E74" s="14">
        <f>SUM(B74:D74)</f>
        <v>12000</v>
      </c>
    </row>
    <row r="75" spans="1:5">
      <c r="A75" s="52" t="s">
        <v>79</v>
      </c>
      <c r="B75" s="16">
        <f>B73-B74</f>
        <v>24808.3333333333</v>
      </c>
      <c r="C75" s="16">
        <f>C73-C74</f>
        <v>44150</v>
      </c>
      <c r="D75" s="16">
        <f>D73-D74</f>
        <v>74150</v>
      </c>
      <c r="E75" s="16">
        <f>E73-E74</f>
        <v>143108.333333333</v>
      </c>
    </row>
    <row r="76" spans="1:5">
      <c r="A76" s="52" t="s">
        <v>80</v>
      </c>
      <c r="B76" s="14">
        <v>0</v>
      </c>
      <c r="C76" s="14">
        <v>0</v>
      </c>
      <c r="D76" s="14">
        <v>0</v>
      </c>
      <c r="E76" s="14">
        <v>0</v>
      </c>
    </row>
    <row r="77" spans="1:5">
      <c r="A77" s="52" t="s">
        <v>82</v>
      </c>
      <c r="B77" s="16">
        <f>B75-B76</f>
        <v>24808.3333333333</v>
      </c>
      <c r="C77" s="16">
        <f>C75-C76</f>
        <v>44150</v>
      </c>
      <c r="D77" s="16">
        <f>D75-D76</f>
        <v>74150</v>
      </c>
      <c r="E77" s="16">
        <f>E75-E76</f>
        <v>143108.333333333</v>
      </c>
    </row>
    <row r="79" ht="33" customHeight="1" spans="1:4">
      <c r="A79" s="54" t="s">
        <v>154</v>
      </c>
      <c r="B79" s="13"/>
      <c r="C79" s="13"/>
      <c r="D79" s="13"/>
    </row>
    <row r="80" spans="1:4">
      <c r="A80" s="17" t="s">
        <v>1</v>
      </c>
      <c r="B80" s="14" t="s">
        <v>61</v>
      </c>
      <c r="C80" s="17" t="s">
        <v>1</v>
      </c>
      <c r="D80" s="14" t="s">
        <v>61</v>
      </c>
    </row>
    <row r="81" spans="1:4">
      <c r="A81" s="14" t="s">
        <v>93</v>
      </c>
      <c r="B81" s="14"/>
      <c r="C81" s="14" t="s">
        <v>94</v>
      </c>
      <c r="D81" s="14"/>
    </row>
    <row r="82" spans="1:4">
      <c r="A82" s="49" t="s">
        <v>95</v>
      </c>
      <c r="B82" s="14"/>
      <c r="C82" s="14" t="s">
        <v>96</v>
      </c>
      <c r="D82" s="14"/>
    </row>
    <row r="83" spans="1:4">
      <c r="A83" s="49" t="s">
        <v>97</v>
      </c>
      <c r="B83" s="16">
        <f>E64</f>
        <v>13000</v>
      </c>
      <c r="C83" t="s">
        <v>88</v>
      </c>
      <c r="D83">
        <f>E61-E62</f>
        <v>108000</v>
      </c>
    </row>
    <row r="84" spans="1:4">
      <c r="A84" s="49" t="s">
        <v>99</v>
      </c>
      <c r="B84" s="14">
        <f>G12</f>
        <v>450000</v>
      </c>
      <c r="C84" s="14" t="s">
        <v>98</v>
      </c>
      <c r="D84" s="14">
        <f>H28</f>
        <v>105000</v>
      </c>
    </row>
    <row r="85" spans="1:4">
      <c r="A85" s="49" t="s">
        <v>155</v>
      </c>
      <c r="B85" s="14">
        <f>F18*F21</f>
        <v>180000</v>
      </c>
      <c r="C85" s="14" t="s">
        <v>100</v>
      </c>
      <c r="D85" s="14">
        <f>E74</f>
        <v>12000</v>
      </c>
    </row>
    <row r="86" spans="1:4">
      <c r="A86" t="s">
        <v>156</v>
      </c>
      <c r="B86" s="14">
        <f>14400-E40</f>
        <v>10800</v>
      </c>
      <c r="C86" s="14" t="s">
        <v>157</v>
      </c>
      <c r="D86" s="16">
        <f>E72-E63</f>
        <v>2041.66666666667</v>
      </c>
    </row>
    <row r="87" spans="1:4">
      <c r="A87" s="49" t="s">
        <v>17</v>
      </c>
      <c r="B87" s="16">
        <f>SUM(B83:B86)</f>
        <v>653800</v>
      </c>
      <c r="C87" s="14" t="s">
        <v>17</v>
      </c>
      <c r="D87" s="16">
        <f>SUM(D83:D86)</f>
        <v>227041.666666667</v>
      </c>
    </row>
    <row r="88" spans="1:4">
      <c r="A88" s="49" t="s">
        <v>103</v>
      </c>
      <c r="B88" s="14"/>
      <c r="C88" s="14"/>
      <c r="D88" s="14"/>
    </row>
    <row r="89" spans="1:4">
      <c r="A89" s="49" t="s">
        <v>158</v>
      </c>
      <c r="B89" s="14">
        <f>E56+172700</f>
        <v>197700</v>
      </c>
      <c r="C89" s="14" t="s">
        <v>159</v>
      </c>
      <c r="D89" s="14">
        <v>300000</v>
      </c>
    </row>
    <row r="90" spans="1:4">
      <c r="A90" s="49" t="s">
        <v>106</v>
      </c>
      <c r="B90" s="14">
        <f>E41</f>
        <v>4500</v>
      </c>
      <c r="C90" s="14" t="s">
        <v>82</v>
      </c>
      <c r="D90" s="16">
        <f>176850+E77</f>
        <v>319958.333333333</v>
      </c>
    </row>
    <row r="91" spans="1:4">
      <c r="A91" s="49"/>
      <c r="B91" s="14"/>
      <c r="C91" s="14"/>
      <c r="D91" s="14"/>
    </row>
    <row r="92" spans="1:4">
      <c r="A92" s="49" t="s">
        <v>17</v>
      </c>
      <c r="B92" s="14">
        <f>B89-B90</f>
        <v>193200</v>
      </c>
      <c r="C92" s="14" t="s">
        <v>17</v>
      </c>
      <c r="D92" s="16">
        <f>SUM(D89:D90)</f>
        <v>619958.333333333</v>
      </c>
    </row>
    <row r="93" spans="1:5">
      <c r="A93" s="49" t="s">
        <v>107</v>
      </c>
      <c r="B93" s="55">
        <f>B87+B92</f>
        <v>847000</v>
      </c>
      <c r="C93" s="14" t="s">
        <v>108</v>
      </c>
      <c r="D93" s="55">
        <f>D87+D92</f>
        <v>847000</v>
      </c>
      <c r="E93" s="56">
        <f>B93-D93</f>
        <v>0</v>
      </c>
    </row>
  </sheetData>
  <mergeCells count="1">
    <mergeCell ref="A79:D79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2"/>
  <sheetViews>
    <sheetView tabSelected="1" topLeftCell="B253" workbookViewId="0">
      <selection activeCell="F290" sqref="F290"/>
    </sheetView>
  </sheetViews>
  <sheetFormatPr defaultColWidth="9" defaultRowHeight="13.5"/>
  <cols>
    <col min="1" max="1" width="13.75" customWidth="1"/>
    <col min="2" max="2" width="12.5" customWidth="1"/>
    <col min="3" max="3" width="18.125" customWidth="1"/>
    <col min="4" max="4" width="20" customWidth="1"/>
    <col min="5" max="5" width="20.5" customWidth="1"/>
    <col min="6" max="6" width="18.5" customWidth="1"/>
    <col min="7" max="13" width="16"/>
    <col min="14" max="14" width="16" customWidth="1"/>
    <col min="15" max="15" width="9.375"/>
  </cols>
  <sheetData>
    <row r="1" ht="18.75" customHeight="1" spans="1:4">
      <c r="A1" s="21" t="s">
        <v>160</v>
      </c>
      <c r="B1" s="21"/>
      <c r="C1" s="21"/>
      <c r="D1" s="21"/>
    </row>
    <row r="2" ht="24" customHeight="1" spans="1:5">
      <c r="A2" s="22" t="s">
        <v>161</v>
      </c>
      <c r="B2" s="22" t="s">
        <v>162</v>
      </c>
      <c r="C2" s="22" t="s">
        <v>163</v>
      </c>
      <c r="D2" s="22" t="s">
        <v>164</v>
      </c>
      <c r="E2" s="15" t="s">
        <v>165</v>
      </c>
    </row>
    <row r="3" ht="18.75" spans="1:5">
      <c r="A3" s="23">
        <v>2022</v>
      </c>
      <c r="B3" s="23">
        <v>11</v>
      </c>
      <c r="C3" s="24">
        <v>6500000</v>
      </c>
      <c r="D3" s="24"/>
      <c r="E3" s="15"/>
    </row>
    <row r="4" ht="24" customHeight="1" spans="1:5">
      <c r="A4" s="23"/>
      <c r="B4" s="23">
        <v>12</v>
      </c>
      <c r="C4" s="24">
        <v>8000000</v>
      </c>
      <c r="D4" s="24"/>
      <c r="E4" s="15"/>
    </row>
    <row r="5" ht="18.75" spans="1:5">
      <c r="A5" s="23">
        <v>2023</v>
      </c>
      <c r="B5" s="23">
        <v>1</v>
      </c>
      <c r="C5" s="24">
        <v>3500000</v>
      </c>
      <c r="D5" s="24">
        <f>C3*0.1+C4*0.75+C4*0.15*0.99</f>
        <v>7838000</v>
      </c>
      <c r="E5" s="25">
        <f>C3*0.55+C4*0.4+C4*0.5*0.99</f>
        <v>10735000</v>
      </c>
    </row>
    <row r="6" ht="18.75" spans="1:5">
      <c r="A6" s="23"/>
      <c r="B6" s="23">
        <v>2</v>
      </c>
      <c r="C6" s="24">
        <v>3200000</v>
      </c>
      <c r="D6" s="24">
        <f t="shared" ref="D6:D16" si="0">C4*0.1+C5*0.75+C5*0.15*0.99</f>
        <v>3944750</v>
      </c>
      <c r="E6" s="25">
        <f t="shared" ref="E6:E18" si="1">C4*0.55+C5*0.4+C5*0.5*0.99</f>
        <v>7532500</v>
      </c>
    </row>
    <row r="7" ht="18.75" spans="1:5">
      <c r="A7" s="23"/>
      <c r="B7" s="23">
        <v>3</v>
      </c>
      <c r="C7" s="24">
        <v>3200000</v>
      </c>
      <c r="D7" s="24">
        <f t="shared" si="0"/>
        <v>3225200</v>
      </c>
      <c r="E7" s="25">
        <f t="shared" si="1"/>
        <v>4789000</v>
      </c>
    </row>
    <row r="8" ht="18.75" spans="1:5">
      <c r="A8" s="23"/>
      <c r="B8" s="23">
        <v>4</v>
      </c>
      <c r="C8" s="24">
        <v>3400000</v>
      </c>
      <c r="D8" s="24">
        <f t="shared" si="0"/>
        <v>3195200</v>
      </c>
      <c r="E8" s="25">
        <f t="shared" si="1"/>
        <v>4624000</v>
      </c>
    </row>
    <row r="9" ht="18.75" spans="1:5">
      <c r="A9" s="23"/>
      <c r="B9" s="23">
        <v>5</v>
      </c>
      <c r="C9" s="24">
        <v>3700000</v>
      </c>
      <c r="D9" s="24">
        <f t="shared" si="0"/>
        <v>3374900</v>
      </c>
      <c r="E9" s="25">
        <f t="shared" si="1"/>
        <v>4803000</v>
      </c>
    </row>
    <row r="10" ht="18.75" spans="1:5">
      <c r="A10" s="23"/>
      <c r="B10" s="23">
        <v>6</v>
      </c>
      <c r="C10" s="24">
        <v>4000000</v>
      </c>
      <c r="D10" s="24">
        <f t="shared" si="0"/>
        <v>3664450</v>
      </c>
      <c r="E10" s="25">
        <f t="shared" si="1"/>
        <v>5181500</v>
      </c>
    </row>
    <row r="11" ht="18.75" spans="1:5">
      <c r="A11" s="23"/>
      <c r="B11" s="23">
        <v>7</v>
      </c>
      <c r="C11" s="24">
        <v>4500000</v>
      </c>
      <c r="D11" s="24">
        <f t="shared" si="0"/>
        <v>3964000</v>
      </c>
      <c r="E11" s="25">
        <f t="shared" si="1"/>
        <v>5615000</v>
      </c>
    </row>
    <row r="12" ht="18.75" spans="1:5">
      <c r="A12" s="23"/>
      <c r="B12" s="23">
        <v>8</v>
      </c>
      <c r="C12" s="24">
        <v>5000000</v>
      </c>
      <c r="D12" s="24">
        <f t="shared" si="0"/>
        <v>4443250</v>
      </c>
      <c r="E12" s="25">
        <f t="shared" si="1"/>
        <v>6227500</v>
      </c>
    </row>
    <row r="13" ht="18.75" spans="1:5">
      <c r="A13" s="23"/>
      <c r="B13" s="23">
        <v>9</v>
      </c>
      <c r="C13" s="24">
        <v>5500000</v>
      </c>
      <c r="D13" s="24">
        <f t="shared" si="0"/>
        <v>4942500</v>
      </c>
      <c r="E13" s="25">
        <f t="shared" si="1"/>
        <v>6950000</v>
      </c>
    </row>
    <row r="14" ht="18.75" spans="1:5">
      <c r="A14" s="23"/>
      <c r="B14" s="23">
        <v>10</v>
      </c>
      <c r="C14" s="24">
        <v>6500000</v>
      </c>
      <c r="D14" s="24">
        <f t="shared" si="0"/>
        <v>5441750</v>
      </c>
      <c r="E14" s="25">
        <f t="shared" si="1"/>
        <v>7672500</v>
      </c>
    </row>
    <row r="15" ht="18.75" spans="1:5">
      <c r="A15" s="23"/>
      <c r="B15" s="23">
        <v>11</v>
      </c>
      <c r="C15" s="24">
        <v>7000000</v>
      </c>
      <c r="D15" s="24">
        <f t="shared" si="0"/>
        <v>6390250</v>
      </c>
      <c r="E15" s="25">
        <f t="shared" si="1"/>
        <v>8842500</v>
      </c>
    </row>
    <row r="16" ht="24" customHeight="1" spans="1:5">
      <c r="A16" s="23"/>
      <c r="B16" s="23">
        <v>12</v>
      </c>
      <c r="C16" s="24">
        <v>8500000</v>
      </c>
      <c r="D16" s="24">
        <f t="shared" si="0"/>
        <v>6939500</v>
      </c>
      <c r="E16" s="25">
        <f t="shared" si="1"/>
        <v>9840000</v>
      </c>
    </row>
    <row r="17" ht="18.75" spans="1:5">
      <c r="A17" s="23">
        <v>2024</v>
      </c>
      <c r="B17" s="23">
        <v>1</v>
      </c>
      <c r="C17" s="24">
        <v>3800000</v>
      </c>
      <c r="D17" s="24">
        <f>C15*0.1+C16*0.75+C16*0.15*0.99</f>
        <v>8337250</v>
      </c>
      <c r="E17" s="25">
        <f t="shared" si="1"/>
        <v>11457500</v>
      </c>
    </row>
    <row r="18" ht="18.75" spans="1:5">
      <c r="A18" s="23"/>
      <c r="B18" s="23">
        <v>2</v>
      </c>
      <c r="C18" s="24">
        <v>3200000</v>
      </c>
      <c r="D18" s="24">
        <f>C16*0.1+C17*0.75+C17*0.15*0.99</f>
        <v>4264300</v>
      </c>
      <c r="E18" s="25">
        <f t="shared" si="1"/>
        <v>8076000</v>
      </c>
    </row>
    <row r="20" ht="32" customHeight="1" spans="1:5">
      <c r="A20" s="26" t="s">
        <v>166</v>
      </c>
      <c r="B20" s="26"/>
      <c r="C20" s="26"/>
      <c r="D20" s="26"/>
      <c r="E20" s="26"/>
    </row>
    <row r="21" ht="18.75" spans="1:5">
      <c r="A21" s="27" t="s">
        <v>161</v>
      </c>
      <c r="B21" s="27" t="s">
        <v>162</v>
      </c>
      <c r="C21" s="27" t="s">
        <v>167</v>
      </c>
      <c r="D21" s="27" t="s">
        <v>168</v>
      </c>
      <c r="E21" s="27" t="s">
        <v>169</v>
      </c>
    </row>
    <row r="22" ht="18.75" spans="1:5">
      <c r="A22" s="28">
        <v>2022</v>
      </c>
      <c r="B22" s="24">
        <v>11</v>
      </c>
      <c r="C22" s="24">
        <v>6500000</v>
      </c>
      <c r="D22" s="24">
        <f>C22*0.4</f>
        <v>2600000</v>
      </c>
      <c r="E22" s="24"/>
    </row>
    <row r="23" ht="18.75" spans="1:5">
      <c r="A23" s="28"/>
      <c r="B23" s="24">
        <v>12</v>
      </c>
      <c r="C23" s="24">
        <v>8000000</v>
      </c>
      <c r="D23" s="24">
        <f t="shared" ref="D23:D37" si="2">C23*0.4</f>
        <v>3200000</v>
      </c>
      <c r="E23" s="24">
        <f>D24*0.5+D25*0.5</f>
        <v>1340000</v>
      </c>
    </row>
    <row r="24" ht="18.75" spans="1:5">
      <c r="A24" s="28">
        <v>2023</v>
      </c>
      <c r="B24" s="24">
        <v>1</v>
      </c>
      <c r="C24" s="24">
        <v>3500000</v>
      </c>
      <c r="D24" s="24">
        <f t="shared" si="2"/>
        <v>1400000</v>
      </c>
      <c r="E24" s="24">
        <f t="shared" ref="E24:E36" si="3">D25*0.5+D26*0.5</f>
        <v>1280000</v>
      </c>
    </row>
    <row r="25" ht="18.75" spans="1:5">
      <c r="A25" s="28"/>
      <c r="B25" s="24">
        <v>2</v>
      </c>
      <c r="C25" s="24">
        <v>3200000</v>
      </c>
      <c r="D25" s="24">
        <f t="shared" si="2"/>
        <v>1280000</v>
      </c>
      <c r="E25" s="24">
        <f t="shared" si="3"/>
        <v>1320000</v>
      </c>
    </row>
    <row r="26" ht="18.75" spans="1:5">
      <c r="A26" s="28"/>
      <c r="B26" s="24">
        <v>3</v>
      </c>
      <c r="C26" s="24">
        <v>3200000</v>
      </c>
      <c r="D26" s="24">
        <f t="shared" si="2"/>
        <v>1280000</v>
      </c>
      <c r="E26" s="24">
        <f t="shared" si="3"/>
        <v>1420000</v>
      </c>
    </row>
    <row r="27" ht="18.75" spans="1:5">
      <c r="A27" s="28"/>
      <c r="B27" s="24">
        <v>4</v>
      </c>
      <c r="C27" s="24">
        <v>3400000</v>
      </c>
      <c r="D27" s="24">
        <f t="shared" si="2"/>
        <v>1360000</v>
      </c>
      <c r="E27" s="24">
        <f t="shared" si="3"/>
        <v>1540000</v>
      </c>
    </row>
    <row r="28" ht="18.75" spans="1:5">
      <c r="A28" s="28"/>
      <c r="B28" s="24">
        <v>5</v>
      </c>
      <c r="C28" s="24">
        <v>3700000</v>
      </c>
      <c r="D28" s="24">
        <f t="shared" si="2"/>
        <v>1480000</v>
      </c>
      <c r="E28" s="24">
        <f t="shared" si="3"/>
        <v>1700000</v>
      </c>
    </row>
    <row r="29" ht="18.75" spans="1:5">
      <c r="A29" s="28"/>
      <c r="B29" s="24">
        <v>6</v>
      </c>
      <c r="C29" s="24">
        <v>4000000</v>
      </c>
      <c r="D29" s="24">
        <f t="shared" si="2"/>
        <v>1600000</v>
      </c>
      <c r="E29" s="24">
        <f t="shared" si="3"/>
        <v>1900000</v>
      </c>
    </row>
    <row r="30" ht="18.75" spans="1:5">
      <c r="A30" s="28"/>
      <c r="B30" s="24">
        <v>7</v>
      </c>
      <c r="C30" s="24">
        <v>4500000</v>
      </c>
      <c r="D30" s="24">
        <f t="shared" si="2"/>
        <v>1800000</v>
      </c>
      <c r="E30" s="24">
        <f t="shared" si="3"/>
        <v>2100000</v>
      </c>
    </row>
    <row r="31" ht="18.75" spans="1:5">
      <c r="A31" s="28"/>
      <c r="B31" s="24">
        <v>8</v>
      </c>
      <c r="C31" s="24">
        <v>5000000</v>
      </c>
      <c r="D31" s="24">
        <f t="shared" si="2"/>
        <v>2000000</v>
      </c>
      <c r="E31" s="24">
        <f t="shared" si="3"/>
        <v>2400000</v>
      </c>
    </row>
    <row r="32" ht="18.75" spans="1:5">
      <c r="A32" s="28"/>
      <c r="B32" s="24">
        <v>9</v>
      </c>
      <c r="C32" s="24">
        <v>5500000</v>
      </c>
      <c r="D32" s="24">
        <f t="shared" si="2"/>
        <v>2200000</v>
      </c>
      <c r="E32" s="24">
        <f t="shared" si="3"/>
        <v>2700000</v>
      </c>
    </row>
    <row r="33" ht="18.75" spans="1:5">
      <c r="A33" s="28"/>
      <c r="B33" s="24">
        <v>10</v>
      </c>
      <c r="C33" s="24">
        <v>6500000</v>
      </c>
      <c r="D33" s="24">
        <f t="shared" si="2"/>
        <v>2600000</v>
      </c>
      <c r="E33" s="24">
        <f t="shared" si="3"/>
        <v>3100000</v>
      </c>
    </row>
    <row r="34" ht="18.75" spans="1:5">
      <c r="A34" s="28"/>
      <c r="B34" s="24">
        <v>11</v>
      </c>
      <c r="C34" s="24">
        <v>7000000</v>
      </c>
      <c r="D34" s="24">
        <f t="shared" si="2"/>
        <v>2800000</v>
      </c>
      <c r="E34" s="24">
        <f t="shared" si="3"/>
        <v>2460000</v>
      </c>
    </row>
    <row r="35" ht="18.75" spans="1:5">
      <c r="A35" s="28"/>
      <c r="B35" s="24">
        <v>12</v>
      </c>
      <c r="C35" s="24">
        <v>8500000</v>
      </c>
      <c r="D35" s="24">
        <f t="shared" si="2"/>
        <v>3400000</v>
      </c>
      <c r="E35" s="24">
        <f t="shared" si="3"/>
        <v>1400000</v>
      </c>
    </row>
    <row r="36" ht="18.75" spans="1:5">
      <c r="A36" s="28">
        <v>2024</v>
      </c>
      <c r="B36" s="24">
        <v>1</v>
      </c>
      <c r="C36" s="24">
        <v>3800000</v>
      </c>
      <c r="D36" s="24">
        <f t="shared" si="2"/>
        <v>1520000</v>
      </c>
      <c r="E36" s="24">
        <f t="shared" si="3"/>
        <v>640000</v>
      </c>
    </row>
    <row r="37" ht="18.75" spans="1:5">
      <c r="A37" s="28"/>
      <c r="B37" s="24">
        <v>2</v>
      </c>
      <c r="C37" s="24">
        <v>3200000</v>
      </c>
      <c r="D37" s="24">
        <f t="shared" si="2"/>
        <v>1280000</v>
      </c>
      <c r="E37" s="24"/>
    </row>
    <row r="41" ht="18.75" spans="1:5">
      <c r="A41" s="27" t="s">
        <v>161</v>
      </c>
      <c r="B41" s="27" t="s">
        <v>162</v>
      </c>
      <c r="C41" s="27" t="s">
        <v>170</v>
      </c>
      <c r="D41" s="27" t="s">
        <v>171</v>
      </c>
      <c r="E41" s="27" t="s">
        <v>169</v>
      </c>
    </row>
    <row r="42" ht="18.75" spans="1:5">
      <c r="A42" s="28">
        <v>2022</v>
      </c>
      <c r="B42" s="24">
        <v>11</v>
      </c>
      <c r="C42" s="24">
        <v>6500000</v>
      </c>
      <c r="D42" s="24">
        <f>C42*0.2</f>
        <v>1300000</v>
      </c>
      <c r="E42" s="24"/>
    </row>
    <row r="43" ht="18.75" spans="1:5">
      <c r="A43" s="28"/>
      <c r="B43" s="24">
        <v>12</v>
      </c>
      <c r="C43" s="24">
        <v>8000000</v>
      </c>
      <c r="D43" s="24">
        <f>C43*0.2</f>
        <v>1600000</v>
      </c>
      <c r="E43" s="24">
        <f>D43*0.3+D44*0.7</f>
        <v>970000</v>
      </c>
    </row>
    <row r="44" ht="18.75" spans="1:5">
      <c r="A44" s="28">
        <v>2023</v>
      </c>
      <c r="B44" s="24">
        <v>1</v>
      </c>
      <c r="C44" s="24">
        <v>3500000</v>
      </c>
      <c r="D44" s="24">
        <f t="shared" ref="D44:D57" si="4">C44*0.2</f>
        <v>700000</v>
      </c>
      <c r="E44" s="24">
        <f>D44*0.3+D45*0.7</f>
        <v>658000</v>
      </c>
    </row>
    <row r="45" ht="18.75" spans="1:5">
      <c r="A45" s="28"/>
      <c r="B45" s="24">
        <v>2</v>
      </c>
      <c r="C45" s="24">
        <v>3200000</v>
      </c>
      <c r="D45" s="24">
        <f t="shared" si="4"/>
        <v>640000</v>
      </c>
      <c r="E45" s="24">
        <f>D45*0.3+D46*0.7</f>
        <v>640000</v>
      </c>
    </row>
    <row r="46" ht="18.75" spans="1:5">
      <c r="A46" s="28"/>
      <c r="B46" s="24">
        <v>3</v>
      </c>
      <c r="C46" s="24">
        <v>3200000</v>
      </c>
      <c r="D46" s="24">
        <f t="shared" si="4"/>
        <v>640000</v>
      </c>
      <c r="E46" s="24">
        <f t="shared" ref="E46:E56" si="5">D46*0.3+D47*0.7</f>
        <v>668000</v>
      </c>
    </row>
    <row r="47" ht="18.75" spans="1:5">
      <c r="A47" s="28"/>
      <c r="B47" s="24">
        <v>4</v>
      </c>
      <c r="C47" s="24">
        <v>3400000</v>
      </c>
      <c r="D47" s="24">
        <f t="shared" si="4"/>
        <v>680000</v>
      </c>
      <c r="E47" s="24">
        <f t="shared" si="5"/>
        <v>722000</v>
      </c>
    </row>
    <row r="48" ht="18.75" spans="1:5">
      <c r="A48" s="28"/>
      <c r="B48" s="24">
        <v>5</v>
      </c>
      <c r="C48" s="24">
        <v>3700000</v>
      </c>
      <c r="D48" s="24">
        <f t="shared" si="4"/>
        <v>740000</v>
      </c>
      <c r="E48" s="24">
        <f t="shared" si="5"/>
        <v>782000</v>
      </c>
    </row>
    <row r="49" ht="18.75" spans="1:5">
      <c r="A49" s="28"/>
      <c r="B49" s="24">
        <v>6</v>
      </c>
      <c r="C49" s="24">
        <v>4000000</v>
      </c>
      <c r="D49" s="24">
        <f t="shared" si="4"/>
        <v>800000</v>
      </c>
      <c r="E49" s="24">
        <f t="shared" si="5"/>
        <v>870000</v>
      </c>
    </row>
    <row r="50" ht="18.75" spans="1:5">
      <c r="A50" s="28"/>
      <c r="B50" s="24">
        <v>7</v>
      </c>
      <c r="C50" s="24">
        <v>4500000</v>
      </c>
      <c r="D50" s="24">
        <f t="shared" si="4"/>
        <v>900000</v>
      </c>
      <c r="E50" s="24">
        <f t="shared" si="5"/>
        <v>970000</v>
      </c>
    </row>
    <row r="51" ht="18.75" spans="1:5">
      <c r="A51" s="28"/>
      <c r="B51" s="24">
        <v>8</v>
      </c>
      <c r="C51" s="24">
        <v>5000000</v>
      </c>
      <c r="D51" s="24">
        <f t="shared" si="4"/>
        <v>1000000</v>
      </c>
      <c r="E51" s="24">
        <f t="shared" si="5"/>
        <v>1070000</v>
      </c>
    </row>
    <row r="52" ht="18.75" spans="1:5">
      <c r="A52" s="28"/>
      <c r="B52" s="24">
        <v>9</v>
      </c>
      <c r="C52" s="24">
        <v>5500000</v>
      </c>
      <c r="D52" s="24">
        <f t="shared" si="4"/>
        <v>1100000</v>
      </c>
      <c r="E52" s="24">
        <f t="shared" si="5"/>
        <v>1240000</v>
      </c>
    </row>
    <row r="53" ht="18.75" spans="1:5">
      <c r="A53" s="28"/>
      <c r="B53" s="24">
        <v>10</v>
      </c>
      <c r="C53" s="24">
        <v>6500000</v>
      </c>
      <c r="D53" s="24">
        <f t="shared" si="4"/>
        <v>1300000</v>
      </c>
      <c r="E53" s="24">
        <f t="shared" si="5"/>
        <v>1370000</v>
      </c>
    </row>
    <row r="54" ht="18.75" spans="1:5">
      <c r="A54" s="28"/>
      <c r="B54" s="24">
        <v>11</v>
      </c>
      <c r="C54" s="24">
        <v>7000000</v>
      </c>
      <c r="D54" s="24">
        <f t="shared" si="4"/>
        <v>1400000</v>
      </c>
      <c r="E54" s="24">
        <f t="shared" si="5"/>
        <v>1610000</v>
      </c>
    </row>
    <row r="55" ht="18.75" spans="1:5">
      <c r="A55" s="28"/>
      <c r="B55" s="24">
        <v>12</v>
      </c>
      <c r="C55" s="24">
        <v>8500000</v>
      </c>
      <c r="D55" s="24">
        <f t="shared" si="4"/>
        <v>1700000</v>
      </c>
      <c r="E55" s="24">
        <f t="shared" si="5"/>
        <v>1042000</v>
      </c>
    </row>
    <row r="56" ht="18.75" spans="1:5">
      <c r="A56" s="28">
        <v>2024</v>
      </c>
      <c r="B56" s="24">
        <v>1</v>
      </c>
      <c r="C56" s="24">
        <v>3800000</v>
      </c>
      <c r="D56" s="24">
        <f t="shared" si="4"/>
        <v>760000</v>
      </c>
      <c r="E56" s="24">
        <f t="shared" si="5"/>
        <v>676000</v>
      </c>
    </row>
    <row r="57" ht="18.75" spans="1:5">
      <c r="A57" s="28"/>
      <c r="B57" s="24">
        <v>2</v>
      </c>
      <c r="C57" s="24">
        <v>3200000</v>
      </c>
      <c r="D57" s="24">
        <f t="shared" si="4"/>
        <v>640000</v>
      </c>
      <c r="E57" s="24"/>
    </row>
    <row r="60" ht="18.75" spans="1:14">
      <c r="A60" s="29" t="s">
        <v>172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</row>
    <row r="61" spans="1:14">
      <c r="A61" s="31" t="s">
        <v>1</v>
      </c>
      <c r="B61" s="31" t="s">
        <v>173</v>
      </c>
      <c r="C61" s="31" t="s">
        <v>110</v>
      </c>
      <c r="D61" s="31" t="s">
        <v>111</v>
      </c>
      <c r="E61" s="31" t="s">
        <v>112</v>
      </c>
      <c r="F61" s="31" t="s">
        <v>113</v>
      </c>
      <c r="G61" s="31" t="s">
        <v>114</v>
      </c>
      <c r="H61" s="31" t="s">
        <v>115</v>
      </c>
      <c r="I61" s="31" t="s">
        <v>174</v>
      </c>
      <c r="J61" s="31" t="s">
        <v>175</v>
      </c>
      <c r="K61" s="31" t="s">
        <v>176</v>
      </c>
      <c r="L61" s="31" t="s">
        <v>177</v>
      </c>
      <c r="M61" s="31" t="s">
        <v>178</v>
      </c>
      <c r="N61" s="31" t="s">
        <v>17</v>
      </c>
    </row>
    <row r="62" spans="1:14">
      <c r="A62" s="15" t="s">
        <v>179</v>
      </c>
      <c r="B62" s="25">
        <v>2600000</v>
      </c>
      <c r="C62" s="25">
        <f>B81</f>
        <v>2600000</v>
      </c>
      <c r="D62" s="25">
        <f>C81</f>
        <v>2600000</v>
      </c>
      <c r="E62" s="25">
        <f>D81</f>
        <v>2600000</v>
      </c>
      <c r="F62" s="25">
        <f>E81</f>
        <v>2600000</v>
      </c>
      <c r="G62" s="25">
        <f>F81</f>
        <v>2600000</v>
      </c>
      <c r="H62" s="25">
        <f>G81</f>
        <v>2600000</v>
      </c>
      <c r="I62" s="25">
        <f>H81</f>
        <v>2600000</v>
      </c>
      <c r="J62" s="25">
        <f>I81</f>
        <v>2600000</v>
      </c>
      <c r="K62" s="25">
        <f>J81</f>
        <v>2600000</v>
      </c>
      <c r="L62" s="25">
        <f>K81</f>
        <v>2600000</v>
      </c>
      <c r="M62" s="25">
        <f>L81</f>
        <v>2600000</v>
      </c>
      <c r="N62" s="25">
        <f>B62</f>
        <v>2600000</v>
      </c>
    </row>
    <row r="63" spans="1:14">
      <c r="A63" s="15" t="s">
        <v>180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1:14">
      <c r="A64" s="15" t="s">
        <v>181</v>
      </c>
      <c r="B64" s="25"/>
      <c r="C64" s="25">
        <f>B79*0.1/12</f>
        <v>38916.6666666667</v>
      </c>
      <c r="D64" s="25">
        <f>C64+C79*0.1/12</f>
        <v>45530.5555555555</v>
      </c>
      <c r="E64" s="25">
        <f>D64+D79*0.1/12</f>
        <v>43886.6435185185</v>
      </c>
      <c r="F64" s="25">
        <f>E64+E79*0.1/12</f>
        <v>35042.921103395</v>
      </c>
      <c r="G64" s="25">
        <f>F64+F79*0.1/12</f>
        <v>31275.7787792567</v>
      </c>
      <c r="H64" s="25">
        <v>0</v>
      </c>
      <c r="I64" s="25">
        <f>H64</f>
        <v>0</v>
      </c>
      <c r="J64" s="25">
        <f>I64</f>
        <v>0</v>
      </c>
      <c r="K64" s="25">
        <f>J64</f>
        <v>0</v>
      </c>
      <c r="L64" s="25">
        <f>K64</f>
        <v>0</v>
      </c>
      <c r="M64" s="25">
        <f>L64+L79*0.1/12</f>
        <v>19918.75</v>
      </c>
      <c r="N64" s="25">
        <f>SUM(C64:M64)</f>
        <v>214571.315623392</v>
      </c>
    </row>
    <row r="65" spans="1:14">
      <c r="A65" s="15" t="s">
        <v>182</v>
      </c>
      <c r="B65" s="25">
        <f>D5</f>
        <v>7838000</v>
      </c>
      <c r="C65" s="25">
        <f>D6</f>
        <v>3944750</v>
      </c>
      <c r="D65" s="25">
        <f>D7</f>
        <v>3225200</v>
      </c>
      <c r="E65" s="25">
        <f>D8</f>
        <v>3195200</v>
      </c>
      <c r="F65" s="25">
        <f>D9</f>
        <v>3374900</v>
      </c>
      <c r="G65" s="25">
        <f>D10</f>
        <v>3664450</v>
      </c>
      <c r="H65" s="25">
        <f>D11</f>
        <v>3964000</v>
      </c>
      <c r="I65" s="25">
        <f>D12</f>
        <v>4443250</v>
      </c>
      <c r="J65" s="25">
        <f>D13</f>
        <v>4942500</v>
      </c>
      <c r="K65" s="25">
        <f>D14</f>
        <v>5441750</v>
      </c>
      <c r="L65" s="25">
        <f>D15</f>
        <v>6390250</v>
      </c>
      <c r="M65" s="25">
        <f>D16</f>
        <v>6939500</v>
      </c>
      <c r="N65" s="25">
        <f>SUM(B65:M65)</f>
        <v>57363750</v>
      </c>
    </row>
    <row r="66" spans="1:14">
      <c r="A66" s="15" t="s">
        <v>183</v>
      </c>
      <c r="B66" s="25">
        <f>SUM(B62:B65)</f>
        <v>10438000</v>
      </c>
      <c r="C66" s="25">
        <f t="shared" ref="C66:H66" si="6">SUM(C62:C65)</f>
        <v>6583666.66666667</v>
      </c>
      <c r="D66" s="25">
        <f t="shared" si="6"/>
        <v>5870730.55555556</v>
      </c>
      <c r="E66" s="25">
        <f t="shared" si="6"/>
        <v>5839086.64351852</v>
      </c>
      <c r="F66" s="25">
        <f t="shared" si="6"/>
        <v>6009942.9211034</v>
      </c>
      <c r="G66" s="25">
        <f t="shared" si="6"/>
        <v>6295725.77877926</v>
      </c>
      <c r="H66" s="25">
        <f t="shared" si="6"/>
        <v>6564000</v>
      </c>
      <c r="I66" s="25">
        <f>SUM(I62:I65)</f>
        <v>7043250</v>
      </c>
      <c r="J66" s="25">
        <f>SUM(J62:J65)</f>
        <v>7542500</v>
      </c>
      <c r="K66" s="25">
        <f>SUM(K62:K65)</f>
        <v>8041750</v>
      </c>
      <c r="L66" s="25">
        <f>SUM(L62:L65)</f>
        <v>8990250</v>
      </c>
      <c r="M66" s="25">
        <f>SUM(M62:M65)</f>
        <v>9559418.75</v>
      </c>
      <c r="N66" s="25">
        <f>SUM(N62:N65)</f>
        <v>60178321.3156234</v>
      </c>
    </row>
    <row r="67" spans="1:14">
      <c r="A67" s="15" t="s">
        <v>184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>
        <f t="shared" ref="N66:N82" si="7">SUM(B67:M67)</f>
        <v>0</v>
      </c>
    </row>
    <row r="68" spans="1:14">
      <c r="A68" s="15" t="s">
        <v>54</v>
      </c>
      <c r="B68" s="25">
        <v>658000</v>
      </c>
      <c r="C68" s="25">
        <v>640000</v>
      </c>
      <c r="D68" s="25">
        <v>668000</v>
      </c>
      <c r="E68" s="25">
        <v>722000</v>
      </c>
      <c r="F68" s="25">
        <v>782000</v>
      </c>
      <c r="G68" s="25">
        <v>870000</v>
      </c>
      <c r="H68" s="25">
        <v>970000</v>
      </c>
      <c r="I68" s="25">
        <v>1070000</v>
      </c>
      <c r="J68" s="25">
        <v>1240000</v>
      </c>
      <c r="K68" s="25">
        <v>1370000</v>
      </c>
      <c r="L68" s="25">
        <v>160000</v>
      </c>
      <c r="M68" s="25">
        <v>1042000</v>
      </c>
      <c r="N68" s="25">
        <f t="shared" si="7"/>
        <v>10192000</v>
      </c>
    </row>
    <row r="69" spans="1:14">
      <c r="A69" s="15" t="s">
        <v>56</v>
      </c>
      <c r="B69" s="25">
        <v>1280000</v>
      </c>
      <c r="C69" s="25">
        <v>1320000</v>
      </c>
      <c r="D69" s="25">
        <v>1420000</v>
      </c>
      <c r="E69" s="25">
        <v>1540000</v>
      </c>
      <c r="F69" s="25">
        <v>1700000</v>
      </c>
      <c r="G69" s="25">
        <v>1900000</v>
      </c>
      <c r="H69" s="25">
        <v>2100000</v>
      </c>
      <c r="I69" s="25">
        <v>2400000</v>
      </c>
      <c r="J69" s="25">
        <v>2700000</v>
      </c>
      <c r="K69" s="25">
        <v>3100000</v>
      </c>
      <c r="L69" s="25">
        <v>2460000</v>
      </c>
      <c r="M69" s="25">
        <v>1400000</v>
      </c>
      <c r="N69" s="25">
        <f t="shared" si="7"/>
        <v>23320000</v>
      </c>
    </row>
    <row r="70" spans="1:14">
      <c r="A70" s="15" t="s">
        <v>185</v>
      </c>
      <c r="B70" s="25">
        <v>700000</v>
      </c>
      <c r="C70" s="25">
        <v>700000</v>
      </c>
      <c r="D70" s="25">
        <v>700000</v>
      </c>
      <c r="E70" s="25">
        <v>700000</v>
      </c>
      <c r="F70" s="25">
        <v>700000</v>
      </c>
      <c r="G70" s="25">
        <v>700000</v>
      </c>
      <c r="H70" s="25">
        <v>700000</v>
      </c>
      <c r="I70" s="25">
        <v>700000</v>
      </c>
      <c r="J70" s="25">
        <v>700000</v>
      </c>
      <c r="K70" s="25">
        <v>700000</v>
      </c>
      <c r="L70" s="25">
        <v>700000</v>
      </c>
      <c r="M70" s="25">
        <v>700000</v>
      </c>
      <c r="N70" s="25">
        <f t="shared" si="7"/>
        <v>8400000</v>
      </c>
    </row>
    <row r="71" spans="1:14">
      <c r="A71" s="15" t="s">
        <v>186</v>
      </c>
      <c r="B71" s="25">
        <v>280000</v>
      </c>
      <c r="C71" s="25">
        <v>280000</v>
      </c>
      <c r="D71" s="25">
        <v>280000</v>
      </c>
      <c r="E71" s="25">
        <v>280000</v>
      </c>
      <c r="F71" s="25">
        <v>280000</v>
      </c>
      <c r="G71" s="25">
        <v>280000</v>
      </c>
      <c r="H71" s="25">
        <v>280000</v>
      </c>
      <c r="I71" s="25">
        <v>280000</v>
      </c>
      <c r="J71" s="25">
        <v>280000</v>
      </c>
      <c r="K71" s="25">
        <v>280000</v>
      </c>
      <c r="L71" s="25">
        <v>280000</v>
      </c>
      <c r="M71" s="25">
        <v>280000</v>
      </c>
      <c r="N71" s="25">
        <f t="shared" si="7"/>
        <v>3360000</v>
      </c>
    </row>
    <row r="72" spans="1:14">
      <c r="A72" s="15" t="s">
        <v>187</v>
      </c>
      <c r="B72" s="25">
        <v>250000</v>
      </c>
      <c r="C72" s="25">
        <v>250000</v>
      </c>
      <c r="D72" s="25">
        <v>250000</v>
      </c>
      <c r="E72" s="25">
        <v>250000</v>
      </c>
      <c r="F72" s="25">
        <v>250000</v>
      </c>
      <c r="G72" s="25">
        <v>250000</v>
      </c>
      <c r="H72" s="25">
        <v>250000</v>
      </c>
      <c r="I72" s="25">
        <v>250000</v>
      </c>
      <c r="J72" s="25">
        <v>250000</v>
      </c>
      <c r="K72" s="25">
        <v>250000</v>
      </c>
      <c r="L72" s="25">
        <v>250000</v>
      </c>
      <c r="M72" s="25">
        <v>250000</v>
      </c>
      <c r="N72" s="25">
        <f t="shared" si="7"/>
        <v>3000000</v>
      </c>
    </row>
    <row r="73" spans="1:14">
      <c r="A73" s="15" t="s">
        <v>188</v>
      </c>
      <c r="B73" s="25"/>
      <c r="C73" s="25"/>
      <c r="D73" s="25"/>
      <c r="E73" s="25">
        <f>1000000*0.1/12*7</f>
        <v>58333.3333333333</v>
      </c>
      <c r="F73" s="25"/>
      <c r="G73" s="25"/>
      <c r="H73" s="25"/>
      <c r="I73" s="25"/>
      <c r="J73" s="25">
        <f>1000000*0.1/12*5</f>
        <v>41666.6666666667</v>
      </c>
      <c r="K73" s="25"/>
      <c r="L73" s="25"/>
      <c r="M73" s="25"/>
      <c r="N73" s="25">
        <f t="shared" si="7"/>
        <v>100000</v>
      </c>
    </row>
    <row r="74" spans="1:14">
      <c r="A74" s="15" t="s">
        <v>189</v>
      </c>
      <c r="B74" s="25"/>
      <c r="C74" s="25"/>
      <c r="D74" s="25"/>
      <c r="E74" s="25">
        <v>750000</v>
      </c>
      <c r="F74" s="25"/>
      <c r="G74" s="25">
        <v>750000</v>
      </c>
      <c r="H74" s="25"/>
      <c r="I74" s="25"/>
      <c r="J74" s="25">
        <v>750000</v>
      </c>
      <c r="K74" s="25"/>
      <c r="L74" s="25"/>
      <c r="M74" s="25">
        <v>750000</v>
      </c>
      <c r="N74" s="25">
        <f t="shared" si="7"/>
        <v>3000000</v>
      </c>
    </row>
    <row r="75" spans="1:14">
      <c r="A75" s="15" t="s">
        <v>81</v>
      </c>
      <c r="B75" s="25"/>
      <c r="C75" s="25"/>
      <c r="D75" s="25">
        <v>150000</v>
      </c>
      <c r="E75" s="25"/>
      <c r="F75" s="25">
        <v>150000</v>
      </c>
      <c r="G75" s="25"/>
      <c r="H75" s="25"/>
      <c r="I75" s="25">
        <v>150000</v>
      </c>
      <c r="J75" s="25"/>
      <c r="K75" s="25"/>
      <c r="L75" s="25">
        <v>150000</v>
      </c>
      <c r="M75" s="25"/>
      <c r="N75" s="25">
        <f t="shared" si="7"/>
        <v>600000</v>
      </c>
    </row>
    <row r="76" spans="1:14">
      <c r="A76" s="15" t="s">
        <v>190</v>
      </c>
      <c r="B76" s="25"/>
      <c r="C76" s="25"/>
      <c r="D76" s="25"/>
      <c r="E76" s="25"/>
      <c r="F76" s="25"/>
      <c r="G76" s="25">
        <v>5000000</v>
      </c>
      <c r="H76" s="25"/>
      <c r="I76" s="25"/>
      <c r="J76" s="25"/>
      <c r="K76" s="25"/>
      <c r="L76" s="25"/>
      <c r="M76" s="25"/>
      <c r="N76" s="25">
        <f>SUM(B76:M76)</f>
        <v>5000000</v>
      </c>
    </row>
    <row r="77" spans="1:14">
      <c r="A77" s="15" t="s">
        <v>85</v>
      </c>
      <c r="B77" s="25">
        <f>SUM(B68:B76)</f>
        <v>3168000</v>
      </c>
      <c r="C77" s="25">
        <f>SUM(C68:C76)</f>
        <v>3190000</v>
      </c>
      <c r="D77" s="25">
        <f>SUM(D68:D76)</f>
        <v>3468000</v>
      </c>
      <c r="E77" s="25">
        <f>SUM(E68:E76)</f>
        <v>4300333.33333333</v>
      </c>
      <c r="F77" s="25">
        <f>SUM(F68:F76)</f>
        <v>3862000</v>
      </c>
      <c r="G77" s="25">
        <f>SUM(G68:G76)</f>
        <v>9750000</v>
      </c>
      <c r="H77" s="25">
        <f t="shared" ref="H77:M77" si="8">SUM(H68:H76)</f>
        <v>4300000</v>
      </c>
      <c r="I77" s="25">
        <f t="shared" si="8"/>
        <v>4850000</v>
      </c>
      <c r="J77" s="25">
        <f t="shared" si="8"/>
        <v>5961666.66666667</v>
      </c>
      <c r="K77" s="25">
        <f t="shared" si="8"/>
        <v>5700000</v>
      </c>
      <c r="L77" s="25">
        <f t="shared" si="8"/>
        <v>4000000</v>
      </c>
      <c r="M77" s="25">
        <f t="shared" si="8"/>
        <v>4422000</v>
      </c>
      <c r="N77" s="25">
        <f>SUM(N68:N76)</f>
        <v>56972000</v>
      </c>
    </row>
    <row r="78" spans="1:14">
      <c r="A78" s="15" t="s">
        <v>191</v>
      </c>
      <c r="B78" s="25">
        <f>B66-B77</f>
        <v>7270000</v>
      </c>
      <c r="C78" s="25">
        <f>C66-C77</f>
        <v>3393666.66666667</v>
      </c>
      <c r="D78" s="25">
        <f>D66-D77</f>
        <v>2402730.55555556</v>
      </c>
      <c r="E78" s="25">
        <f>E66-E77</f>
        <v>1538753.31018518</v>
      </c>
      <c r="F78" s="25">
        <f>F66-F77</f>
        <v>2147942.9211034</v>
      </c>
      <c r="G78" s="25">
        <f t="shared" ref="G78:M78" si="9">G66-G77</f>
        <v>-3454274.22122074</v>
      </c>
      <c r="H78" s="25">
        <f t="shared" si="9"/>
        <v>2264000</v>
      </c>
      <c r="I78" s="25">
        <f t="shared" si="9"/>
        <v>2193250</v>
      </c>
      <c r="J78" s="25">
        <f t="shared" si="9"/>
        <v>1580833.33333333</v>
      </c>
      <c r="K78" s="25">
        <f t="shared" si="9"/>
        <v>2341750</v>
      </c>
      <c r="L78" s="25">
        <f t="shared" si="9"/>
        <v>4990250</v>
      </c>
      <c r="M78" s="25">
        <f t="shared" si="9"/>
        <v>5137418.75</v>
      </c>
      <c r="N78" s="25">
        <f>N66-N77</f>
        <v>3206321.3156234</v>
      </c>
    </row>
    <row r="79" spans="1:14">
      <c r="A79" s="15" t="s">
        <v>192</v>
      </c>
      <c r="B79" s="25">
        <f>B78-B81</f>
        <v>4670000</v>
      </c>
      <c r="C79" s="25">
        <f>C78-C81</f>
        <v>793666.666666666</v>
      </c>
      <c r="D79" s="25">
        <f>D78-D81</f>
        <v>-197269.444444444</v>
      </c>
      <c r="E79" s="25">
        <f>E78-E81</f>
        <v>-1061246.68981482</v>
      </c>
      <c r="F79" s="25">
        <f>F78-F81</f>
        <v>-452057.078896604</v>
      </c>
      <c r="G79" s="25">
        <f>G78-G81</f>
        <v>-6054274.22122074</v>
      </c>
      <c r="H79" s="25"/>
      <c r="I79" s="25"/>
      <c r="J79" s="25"/>
      <c r="K79" s="25"/>
      <c r="L79" s="25">
        <f>L78-L81</f>
        <v>2390250</v>
      </c>
      <c r="M79" s="25">
        <f>M78-M81</f>
        <v>2537418.75</v>
      </c>
      <c r="N79" s="25">
        <f>SUM(B79:M79)</f>
        <v>2626487.98229006</v>
      </c>
    </row>
    <row r="80" spans="1:14">
      <c r="A80" s="15" t="s">
        <v>88</v>
      </c>
      <c r="B80" s="25"/>
      <c r="C80" s="25"/>
      <c r="D80" s="25"/>
      <c r="E80" s="25"/>
      <c r="F80" s="25"/>
      <c r="G80" s="32">
        <f>-SUM(B79:G79)</f>
        <v>2301180.76770994</v>
      </c>
      <c r="H80" s="25">
        <f>-(H78-H81)</f>
        <v>336000</v>
      </c>
      <c r="I80" s="25">
        <f>I81-I78</f>
        <v>406750</v>
      </c>
      <c r="J80" s="25">
        <f>J81-J78</f>
        <v>1019166.66666667</v>
      </c>
      <c r="K80" s="25">
        <f>K81-K78</f>
        <v>258250</v>
      </c>
      <c r="L80" s="25"/>
      <c r="M80" s="25"/>
      <c r="N80" s="32">
        <f>SUM(B80:M80)</f>
        <v>4321347.43437661</v>
      </c>
    </row>
    <row r="81" spans="1:14">
      <c r="A81" s="15" t="s">
        <v>193</v>
      </c>
      <c r="B81" s="25">
        <v>2600000</v>
      </c>
      <c r="C81" s="25">
        <v>2600000</v>
      </c>
      <c r="D81" s="25">
        <v>2600000</v>
      </c>
      <c r="E81" s="25">
        <v>2600000</v>
      </c>
      <c r="F81" s="25">
        <v>2600000</v>
      </c>
      <c r="G81" s="25">
        <v>2600000</v>
      </c>
      <c r="H81" s="25">
        <v>2600000</v>
      </c>
      <c r="I81" s="25">
        <v>2600000</v>
      </c>
      <c r="J81" s="25">
        <v>2600000</v>
      </c>
      <c r="K81" s="25">
        <v>2600000</v>
      </c>
      <c r="L81" s="25">
        <v>2600000</v>
      </c>
      <c r="M81" s="25">
        <v>2600000</v>
      </c>
      <c r="N81" s="25">
        <f>M81</f>
        <v>2600000</v>
      </c>
    </row>
    <row r="83" spans="1:1">
      <c r="A83" t="s">
        <v>194</v>
      </c>
    </row>
    <row r="84" spans="1:1">
      <c r="A84" t="s">
        <v>195</v>
      </c>
    </row>
    <row r="86" spans="2:6">
      <c r="B86" s="33" t="s">
        <v>196</v>
      </c>
      <c r="C86" s="34"/>
      <c r="D86" s="34"/>
      <c r="E86" s="34"/>
      <c r="F86" s="34"/>
    </row>
    <row r="87" spans="2:6">
      <c r="B87" s="31" t="s">
        <v>161</v>
      </c>
      <c r="C87" s="31" t="s">
        <v>162</v>
      </c>
      <c r="D87" s="31" t="s">
        <v>167</v>
      </c>
      <c r="E87" s="31" t="s">
        <v>197</v>
      </c>
      <c r="F87" s="31" t="s">
        <v>198</v>
      </c>
    </row>
    <row r="88" spans="2:6">
      <c r="B88" s="15">
        <v>2022</v>
      </c>
      <c r="C88" s="15">
        <v>11</v>
      </c>
      <c r="D88" s="25">
        <v>6500000</v>
      </c>
      <c r="E88" s="25">
        <f>D88*1.2</f>
        <v>7800000</v>
      </c>
      <c r="F88" s="25"/>
    </row>
    <row r="89" spans="2:6">
      <c r="B89" s="15"/>
      <c r="C89" s="15">
        <v>12</v>
      </c>
      <c r="D89" s="25">
        <v>8000000</v>
      </c>
      <c r="E89" s="25">
        <f t="shared" ref="E89:E103" si="10">D89*1.2</f>
        <v>9600000</v>
      </c>
      <c r="F89" s="25"/>
    </row>
    <row r="90" spans="2:6">
      <c r="B90" s="15">
        <v>2023</v>
      </c>
      <c r="C90" s="15">
        <v>1</v>
      </c>
      <c r="D90" s="25">
        <v>3500000</v>
      </c>
      <c r="E90" s="25">
        <f t="shared" si="10"/>
        <v>4200000</v>
      </c>
      <c r="F90" s="25">
        <f>E88*0.1+E89*0.15*0.99+0.75*E89</f>
        <v>9405600</v>
      </c>
    </row>
    <row r="91" spans="2:6">
      <c r="B91" s="15"/>
      <c r="C91" s="15">
        <v>2</v>
      </c>
      <c r="D91" s="25">
        <v>3200000</v>
      </c>
      <c r="E91" s="25">
        <f t="shared" si="10"/>
        <v>3840000</v>
      </c>
      <c r="F91" s="25">
        <f t="shared" ref="F91:F102" si="11">E89*0.1+E90*0.15*0.99+0.75*E90</f>
        <v>4733700</v>
      </c>
    </row>
    <row r="92" spans="2:6">
      <c r="B92" s="15"/>
      <c r="C92" s="15">
        <v>3</v>
      </c>
      <c r="D92" s="25">
        <v>3200000</v>
      </c>
      <c r="E92" s="25">
        <f t="shared" si="10"/>
        <v>3840000</v>
      </c>
      <c r="F92" s="25">
        <f t="shared" si="11"/>
        <v>3870240</v>
      </c>
    </row>
    <row r="93" spans="2:6">
      <c r="B93" s="15"/>
      <c r="C93" s="15">
        <v>4</v>
      </c>
      <c r="D93" s="25">
        <v>3400000</v>
      </c>
      <c r="E93" s="25">
        <f t="shared" si="10"/>
        <v>4080000</v>
      </c>
      <c r="F93" s="25">
        <f t="shared" si="11"/>
        <v>3834240</v>
      </c>
    </row>
    <row r="94" spans="2:6">
      <c r="B94" s="15"/>
      <c r="C94" s="15">
        <v>5</v>
      </c>
      <c r="D94" s="25">
        <v>3700000</v>
      </c>
      <c r="E94" s="25">
        <f t="shared" si="10"/>
        <v>4440000</v>
      </c>
      <c r="F94" s="25">
        <f t="shared" si="11"/>
        <v>4049880</v>
      </c>
    </row>
    <row r="95" spans="2:6">
      <c r="B95" s="15"/>
      <c r="C95" s="15">
        <v>6</v>
      </c>
      <c r="D95" s="25">
        <v>4000000</v>
      </c>
      <c r="E95" s="25">
        <f t="shared" si="10"/>
        <v>4800000</v>
      </c>
      <c r="F95" s="25">
        <f t="shared" si="11"/>
        <v>4397340</v>
      </c>
    </row>
    <row r="96" spans="2:6">
      <c r="B96" s="15"/>
      <c r="C96" s="15">
        <v>7</v>
      </c>
      <c r="D96" s="25">
        <v>4500000</v>
      </c>
      <c r="E96" s="25">
        <f t="shared" si="10"/>
        <v>5400000</v>
      </c>
      <c r="F96" s="25">
        <f t="shared" si="11"/>
        <v>4756800</v>
      </c>
    </row>
    <row r="97" spans="2:6">
      <c r="B97" s="15"/>
      <c r="C97" s="15">
        <v>8</v>
      </c>
      <c r="D97" s="25">
        <v>5000000</v>
      </c>
      <c r="E97" s="25">
        <f t="shared" si="10"/>
        <v>6000000</v>
      </c>
      <c r="F97" s="25">
        <f t="shared" si="11"/>
        <v>5331900</v>
      </c>
    </row>
    <row r="98" spans="2:6">
      <c r="B98" s="15"/>
      <c r="C98" s="15">
        <v>9</v>
      </c>
      <c r="D98" s="25">
        <v>5500000</v>
      </c>
      <c r="E98" s="25">
        <f t="shared" si="10"/>
        <v>6600000</v>
      </c>
      <c r="F98" s="25">
        <f t="shared" si="11"/>
        <v>5931000</v>
      </c>
    </row>
    <row r="99" spans="2:6">
      <c r="B99" s="15"/>
      <c r="C99" s="15">
        <v>10</v>
      </c>
      <c r="D99" s="25">
        <v>6500000</v>
      </c>
      <c r="E99" s="25">
        <f t="shared" si="10"/>
        <v>7800000</v>
      </c>
      <c r="F99" s="25">
        <f t="shared" si="11"/>
        <v>6530100</v>
      </c>
    </row>
    <row r="100" spans="2:6">
      <c r="B100" s="15"/>
      <c r="C100" s="15">
        <v>11</v>
      </c>
      <c r="D100" s="25">
        <v>7000000</v>
      </c>
      <c r="E100" s="25">
        <f t="shared" si="10"/>
        <v>8400000</v>
      </c>
      <c r="F100" s="25">
        <f t="shared" si="11"/>
        <v>7668300</v>
      </c>
    </row>
    <row r="101" spans="2:6">
      <c r="B101" s="15"/>
      <c r="C101" s="15">
        <v>12</v>
      </c>
      <c r="D101" s="25">
        <v>8500000</v>
      </c>
      <c r="E101" s="25">
        <f t="shared" si="10"/>
        <v>10200000</v>
      </c>
      <c r="F101" s="25">
        <f t="shared" si="11"/>
        <v>8327400</v>
      </c>
    </row>
    <row r="102" spans="2:6">
      <c r="B102" s="15">
        <v>2024</v>
      </c>
      <c r="C102" s="15">
        <v>1</v>
      </c>
      <c r="D102" s="25">
        <v>3800000</v>
      </c>
      <c r="E102" s="25">
        <f t="shared" si="10"/>
        <v>4560000</v>
      </c>
      <c r="F102" s="25">
        <f t="shared" si="11"/>
        <v>10004700</v>
      </c>
    </row>
    <row r="103" spans="2:6">
      <c r="B103" s="15"/>
      <c r="C103" s="15">
        <v>2</v>
      </c>
      <c r="D103" s="25">
        <v>3200000</v>
      </c>
      <c r="E103" s="25">
        <f t="shared" si="10"/>
        <v>3840000</v>
      </c>
      <c r="F103" s="25"/>
    </row>
    <row r="105" spans="2:7">
      <c r="B105" s="33" t="s">
        <v>199</v>
      </c>
      <c r="C105" s="34"/>
      <c r="D105" s="34"/>
      <c r="E105" s="34"/>
      <c r="F105" s="34"/>
      <c r="G105" s="34"/>
    </row>
    <row r="106" spans="2:7">
      <c r="B106" s="31" t="s">
        <v>161</v>
      </c>
      <c r="C106" s="31" t="s">
        <v>162</v>
      </c>
      <c r="D106" s="31" t="s">
        <v>167</v>
      </c>
      <c r="E106" s="31" t="s">
        <v>200</v>
      </c>
      <c r="F106" s="31" t="s">
        <v>201</v>
      </c>
      <c r="G106" s="31" t="s">
        <v>169</v>
      </c>
    </row>
    <row r="107" spans="2:7">
      <c r="B107" s="15">
        <v>2022</v>
      </c>
      <c r="C107" s="15">
        <v>11</v>
      </c>
      <c r="D107" s="25">
        <v>6500000</v>
      </c>
      <c r="E107" s="25">
        <v>7800000</v>
      </c>
      <c r="F107" s="25">
        <v>1300000</v>
      </c>
      <c r="G107" s="25"/>
    </row>
    <row r="108" spans="2:7">
      <c r="B108" s="15"/>
      <c r="C108" s="15">
        <v>12</v>
      </c>
      <c r="D108" s="25">
        <v>8000000</v>
      </c>
      <c r="E108" s="25">
        <v>9600000</v>
      </c>
      <c r="F108" s="25">
        <v>1600000</v>
      </c>
      <c r="G108" s="25"/>
    </row>
    <row r="109" spans="2:7">
      <c r="B109" s="15">
        <v>2023</v>
      </c>
      <c r="C109" s="15">
        <v>1</v>
      </c>
      <c r="D109" s="25">
        <v>3500000</v>
      </c>
      <c r="E109" s="25">
        <v>4200000</v>
      </c>
      <c r="F109" s="25">
        <v>840000</v>
      </c>
      <c r="G109" s="25">
        <f>F109*0.3+F110*0.7</f>
        <v>789600</v>
      </c>
    </row>
    <row r="110" spans="2:7">
      <c r="B110" s="15"/>
      <c r="C110" s="15">
        <v>2</v>
      </c>
      <c r="D110" s="25">
        <v>3200000</v>
      </c>
      <c r="E110" s="25">
        <v>3840000</v>
      </c>
      <c r="F110" s="25">
        <v>768000</v>
      </c>
      <c r="G110" s="25">
        <f t="shared" ref="G110:G120" si="12">F110*0.3+F111*0.7</f>
        <v>768000</v>
      </c>
    </row>
    <row r="111" spans="2:7">
      <c r="B111" s="15"/>
      <c r="C111" s="15">
        <v>3</v>
      </c>
      <c r="D111" s="25">
        <v>3200000</v>
      </c>
      <c r="E111" s="25">
        <v>3840000</v>
      </c>
      <c r="F111" s="25">
        <v>768000</v>
      </c>
      <c r="G111" s="25">
        <f t="shared" si="12"/>
        <v>801600</v>
      </c>
    </row>
    <row r="112" spans="2:7">
      <c r="B112" s="15"/>
      <c r="C112" s="15">
        <v>4</v>
      </c>
      <c r="D112" s="25">
        <v>3400000</v>
      </c>
      <c r="E112" s="25">
        <v>4080000</v>
      </c>
      <c r="F112" s="25">
        <v>816000</v>
      </c>
      <c r="G112" s="25">
        <f t="shared" si="12"/>
        <v>866400</v>
      </c>
    </row>
    <row r="113" spans="2:7">
      <c r="B113" s="15"/>
      <c r="C113" s="15">
        <v>5</v>
      </c>
      <c r="D113" s="25">
        <v>3700000</v>
      </c>
      <c r="E113" s="25">
        <v>4440000</v>
      </c>
      <c r="F113" s="25">
        <v>888000</v>
      </c>
      <c r="G113" s="25">
        <f t="shared" si="12"/>
        <v>938400</v>
      </c>
    </row>
    <row r="114" spans="2:7">
      <c r="B114" s="15"/>
      <c r="C114" s="15">
        <v>6</v>
      </c>
      <c r="D114" s="25">
        <v>4000000</v>
      </c>
      <c r="E114" s="25">
        <v>4800000</v>
      </c>
      <c r="F114" s="25">
        <v>960000</v>
      </c>
      <c r="G114" s="25">
        <f t="shared" si="12"/>
        <v>1044000</v>
      </c>
    </row>
    <row r="115" spans="2:7">
      <c r="B115" s="15"/>
      <c r="C115" s="15">
        <v>7</v>
      </c>
      <c r="D115" s="25">
        <v>4500000</v>
      </c>
      <c r="E115" s="25">
        <v>5400000</v>
      </c>
      <c r="F115" s="25">
        <v>1080000</v>
      </c>
      <c r="G115" s="25">
        <f t="shared" si="12"/>
        <v>1164000</v>
      </c>
    </row>
    <row r="116" spans="2:7">
      <c r="B116" s="15"/>
      <c r="C116" s="15">
        <v>8</v>
      </c>
      <c r="D116" s="25">
        <v>5000000</v>
      </c>
      <c r="E116" s="25">
        <v>6000000</v>
      </c>
      <c r="F116" s="25">
        <v>1200000</v>
      </c>
      <c r="G116" s="25">
        <f t="shared" si="12"/>
        <v>1284000</v>
      </c>
    </row>
    <row r="117" spans="2:7">
      <c r="B117" s="15"/>
      <c r="C117" s="15">
        <v>9</v>
      </c>
      <c r="D117" s="25">
        <v>5500000</v>
      </c>
      <c r="E117" s="25">
        <v>6600000</v>
      </c>
      <c r="F117" s="25">
        <v>1320000</v>
      </c>
      <c r="G117" s="25">
        <f t="shared" si="12"/>
        <v>1488000</v>
      </c>
    </row>
    <row r="118" spans="2:7">
      <c r="B118" s="15"/>
      <c r="C118" s="15">
        <v>10</v>
      </c>
      <c r="D118" s="25">
        <v>6500000</v>
      </c>
      <c r="E118" s="25">
        <v>7800000</v>
      </c>
      <c r="F118" s="25">
        <v>1560000</v>
      </c>
      <c r="G118" s="25">
        <f t="shared" si="12"/>
        <v>1644000</v>
      </c>
    </row>
    <row r="119" spans="2:7">
      <c r="B119" s="15"/>
      <c r="C119" s="15">
        <v>11</v>
      </c>
      <c r="D119" s="25">
        <v>7000000</v>
      </c>
      <c r="E119" s="25">
        <v>8400000</v>
      </c>
      <c r="F119" s="25">
        <v>1680000</v>
      </c>
      <c r="G119" s="25">
        <f t="shared" si="12"/>
        <v>1932000</v>
      </c>
    </row>
    <row r="120" spans="2:7">
      <c r="B120" s="15"/>
      <c r="C120" s="15">
        <v>12</v>
      </c>
      <c r="D120" s="25">
        <v>8500000</v>
      </c>
      <c r="E120" s="25">
        <v>10200000</v>
      </c>
      <c r="F120" s="25">
        <v>2040000</v>
      </c>
      <c r="G120" s="25">
        <f t="shared" si="12"/>
        <v>1144000</v>
      </c>
    </row>
    <row r="121" spans="2:7">
      <c r="B121" s="15">
        <v>2024</v>
      </c>
      <c r="C121" s="15">
        <v>1</v>
      </c>
      <c r="D121" s="25">
        <v>3800000</v>
      </c>
      <c r="E121" s="25">
        <f>D121*1.2</f>
        <v>4560000</v>
      </c>
      <c r="F121" s="25">
        <v>760000</v>
      </c>
      <c r="G121" s="25"/>
    </row>
    <row r="122" spans="2:7">
      <c r="B122" s="15"/>
      <c r="C122" s="15">
        <v>2</v>
      </c>
      <c r="D122" s="25">
        <v>3200000</v>
      </c>
      <c r="E122" s="25">
        <f>D122*1.2</f>
        <v>3840000</v>
      </c>
      <c r="F122" s="25">
        <v>640000</v>
      </c>
      <c r="G122" s="25"/>
    </row>
    <row r="124" spans="2:7">
      <c r="B124" s="33" t="s">
        <v>202</v>
      </c>
      <c r="C124" s="34"/>
      <c r="D124" s="34"/>
      <c r="E124" s="34"/>
      <c r="F124" s="34"/>
      <c r="G124" s="34"/>
    </row>
    <row r="125" spans="2:7">
      <c r="B125" s="31" t="s">
        <v>161</v>
      </c>
      <c r="C125" s="31" t="s">
        <v>162</v>
      </c>
      <c r="D125" s="31" t="s">
        <v>167</v>
      </c>
      <c r="E125" s="31" t="s">
        <v>200</v>
      </c>
      <c r="F125" s="31" t="s">
        <v>168</v>
      </c>
      <c r="G125" s="31" t="s">
        <v>169</v>
      </c>
    </row>
    <row r="126" spans="2:7">
      <c r="B126" s="15">
        <v>2022</v>
      </c>
      <c r="C126" s="15">
        <v>11</v>
      </c>
      <c r="D126" s="25">
        <v>6500000</v>
      </c>
      <c r="E126" s="25">
        <v>7800000</v>
      </c>
      <c r="F126" s="25">
        <v>2600000</v>
      </c>
      <c r="G126" s="25"/>
    </row>
    <row r="127" spans="2:7">
      <c r="B127" s="15"/>
      <c r="C127" s="15">
        <v>12</v>
      </c>
      <c r="D127" s="25">
        <v>8000000</v>
      </c>
      <c r="E127" s="25">
        <v>9600000</v>
      </c>
      <c r="F127" s="25">
        <v>3200000</v>
      </c>
      <c r="G127" s="25"/>
    </row>
    <row r="128" spans="2:7">
      <c r="B128" s="15">
        <v>2023</v>
      </c>
      <c r="C128" s="15">
        <v>1</v>
      </c>
      <c r="D128" s="25">
        <v>3500000</v>
      </c>
      <c r="E128" s="25">
        <v>4200000</v>
      </c>
      <c r="F128" s="25">
        <v>1680000</v>
      </c>
      <c r="G128" s="25">
        <f>F130*0.5+F129*0.5</f>
        <v>1536000</v>
      </c>
    </row>
    <row r="129" spans="2:7">
      <c r="B129" s="15"/>
      <c r="C129" s="15">
        <v>2</v>
      </c>
      <c r="D129" s="25">
        <v>3200000</v>
      </c>
      <c r="E129" s="25">
        <v>3840000</v>
      </c>
      <c r="F129" s="25">
        <v>1536000</v>
      </c>
      <c r="G129" s="25">
        <f t="shared" ref="G129:G139" si="13">F131*0.5+F130*0.5</f>
        <v>1584000</v>
      </c>
    </row>
    <row r="130" spans="2:7">
      <c r="B130" s="15"/>
      <c r="C130" s="15">
        <v>3</v>
      </c>
      <c r="D130" s="25">
        <v>3200000</v>
      </c>
      <c r="E130" s="25">
        <v>3840000</v>
      </c>
      <c r="F130" s="25">
        <v>1536000</v>
      </c>
      <c r="G130" s="25">
        <f t="shared" si="13"/>
        <v>1704000</v>
      </c>
    </row>
    <row r="131" spans="2:7">
      <c r="B131" s="15"/>
      <c r="C131" s="15">
        <v>4</v>
      </c>
      <c r="D131" s="25">
        <v>3400000</v>
      </c>
      <c r="E131" s="25">
        <v>4080000</v>
      </c>
      <c r="F131" s="25">
        <v>1632000</v>
      </c>
      <c r="G131" s="25">
        <f t="shared" si="13"/>
        <v>1848000</v>
      </c>
    </row>
    <row r="132" spans="2:7">
      <c r="B132" s="15"/>
      <c r="C132" s="15">
        <v>5</v>
      </c>
      <c r="D132" s="25">
        <v>3700000</v>
      </c>
      <c r="E132" s="25">
        <v>4440000</v>
      </c>
      <c r="F132" s="25">
        <v>1776000</v>
      </c>
      <c r="G132" s="25">
        <f t="shared" si="13"/>
        <v>2040000</v>
      </c>
    </row>
    <row r="133" spans="2:7">
      <c r="B133" s="15"/>
      <c r="C133" s="15">
        <v>6</v>
      </c>
      <c r="D133" s="25">
        <v>4000000</v>
      </c>
      <c r="E133" s="25">
        <v>4800000</v>
      </c>
      <c r="F133" s="25">
        <v>1920000</v>
      </c>
      <c r="G133" s="25">
        <f t="shared" si="13"/>
        <v>2280000</v>
      </c>
    </row>
    <row r="134" spans="2:7">
      <c r="B134" s="15"/>
      <c r="C134" s="15">
        <v>7</v>
      </c>
      <c r="D134" s="25">
        <v>4500000</v>
      </c>
      <c r="E134" s="25">
        <v>5400000</v>
      </c>
      <c r="F134" s="25">
        <v>2160000</v>
      </c>
      <c r="G134" s="25">
        <f t="shared" si="13"/>
        <v>2520000</v>
      </c>
    </row>
    <row r="135" spans="2:7">
      <c r="B135" s="15"/>
      <c r="C135" s="15">
        <v>8</v>
      </c>
      <c r="D135" s="25">
        <v>5000000</v>
      </c>
      <c r="E135" s="25">
        <v>6000000</v>
      </c>
      <c r="F135" s="25">
        <v>2400000</v>
      </c>
      <c r="G135" s="25">
        <f t="shared" si="13"/>
        <v>2880000</v>
      </c>
    </row>
    <row r="136" spans="2:7">
      <c r="B136" s="15"/>
      <c r="C136" s="15">
        <v>9</v>
      </c>
      <c r="D136" s="25">
        <v>5500000</v>
      </c>
      <c r="E136" s="25">
        <v>6600000</v>
      </c>
      <c r="F136" s="25">
        <v>2640000</v>
      </c>
      <c r="G136" s="25">
        <f t="shared" si="13"/>
        <v>3240000</v>
      </c>
    </row>
    <row r="137" spans="2:7">
      <c r="B137" s="15"/>
      <c r="C137" s="15">
        <v>10</v>
      </c>
      <c r="D137" s="25">
        <v>6500000</v>
      </c>
      <c r="E137" s="25">
        <v>7800000</v>
      </c>
      <c r="F137" s="25">
        <v>3120000</v>
      </c>
      <c r="G137" s="25">
        <f t="shared" si="13"/>
        <v>3720000</v>
      </c>
    </row>
    <row r="138" spans="2:7">
      <c r="B138" s="15"/>
      <c r="C138" s="15">
        <v>11</v>
      </c>
      <c r="D138" s="25">
        <v>7000000</v>
      </c>
      <c r="E138" s="25">
        <v>8400000</v>
      </c>
      <c r="F138" s="25">
        <v>3360000</v>
      </c>
      <c r="G138" s="25">
        <f t="shared" si="13"/>
        <v>2800000</v>
      </c>
    </row>
    <row r="139" spans="2:7">
      <c r="B139" s="15"/>
      <c r="C139" s="15">
        <v>12</v>
      </c>
      <c r="D139" s="25">
        <v>8500000</v>
      </c>
      <c r="E139" s="25">
        <v>10200000</v>
      </c>
      <c r="F139" s="25">
        <v>4080000</v>
      </c>
      <c r="G139" s="25">
        <f t="shared" si="13"/>
        <v>1400000</v>
      </c>
    </row>
    <row r="140" spans="2:7">
      <c r="B140" s="15">
        <v>2024</v>
      </c>
      <c r="C140" s="15">
        <v>1</v>
      </c>
      <c r="D140" s="25">
        <v>3800000</v>
      </c>
      <c r="E140" s="25">
        <f>D140*1.2</f>
        <v>4560000</v>
      </c>
      <c r="F140" s="25">
        <v>1520000</v>
      </c>
      <c r="G140" s="25"/>
    </row>
    <row r="141" spans="2:7">
      <c r="B141" s="15"/>
      <c r="C141" s="15">
        <v>2</v>
      </c>
      <c r="D141" s="25">
        <v>3200000</v>
      </c>
      <c r="E141" s="25">
        <f>D141*1.2</f>
        <v>3840000</v>
      </c>
      <c r="F141" s="25">
        <v>1280000</v>
      </c>
      <c r="G141" s="25"/>
    </row>
    <row r="146" ht="14.25" spans="1:14">
      <c r="A146" s="35" t="s">
        <v>203</v>
      </c>
      <c r="B146" s="36" t="s">
        <v>204</v>
      </c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43"/>
    </row>
    <row r="147" spans="1:14">
      <c r="A147" s="38"/>
      <c r="B147" s="35" t="s">
        <v>173</v>
      </c>
      <c r="C147" s="35" t="s">
        <v>110</v>
      </c>
      <c r="D147" s="35" t="s">
        <v>111</v>
      </c>
      <c r="E147" s="35" t="s">
        <v>112</v>
      </c>
      <c r="F147" s="35" t="s">
        <v>113</v>
      </c>
      <c r="G147" s="35" t="s">
        <v>114</v>
      </c>
      <c r="H147" s="35" t="s">
        <v>115</v>
      </c>
      <c r="I147" s="35" t="s">
        <v>174</v>
      </c>
      <c r="J147" s="35" t="s">
        <v>175</v>
      </c>
      <c r="K147" s="35" t="s">
        <v>176</v>
      </c>
      <c r="L147" s="35" t="s">
        <v>177</v>
      </c>
      <c r="M147" s="35" t="s">
        <v>178</v>
      </c>
      <c r="N147" s="35" t="s">
        <v>17</v>
      </c>
    </row>
    <row r="148" spans="1:14">
      <c r="A148" s="39" t="s">
        <v>179</v>
      </c>
      <c r="B148" s="40">
        <v>2600000</v>
      </c>
      <c r="C148" s="40">
        <f>B167</f>
        <v>2600000</v>
      </c>
      <c r="D148" s="40">
        <f>C167</f>
        <v>2600000</v>
      </c>
      <c r="E148" s="40">
        <f>D167</f>
        <v>2600000</v>
      </c>
      <c r="F148" s="40">
        <f>E167</f>
        <v>2600000</v>
      </c>
      <c r="G148" s="40">
        <f>F167</f>
        <v>2600000</v>
      </c>
      <c r="H148" s="40">
        <f>G167</f>
        <v>2600000</v>
      </c>
      <c r="I148" s="40">
        <f>H167</f>
        <v>2600000</v>
      </c>
      <c r="J148" s="40">
        <f>I167</f>
        <v>2600000</v>
      </c>
      <c r="K148" s="40">
        <f>J167</f>
        <v>2600000</v>
      </c>
      <c r="L148" s="40">
        <f>K167</f>
        <v>2600000</v>
      </c>
      <c r="M148" s="40">
        <f>L167</f>
        <v>2600000</v>
      </c>
      <c r="N148" s="40">
        <v>2600000</v>
      </c>
    </row>
    <row r="149" spans="1:14">
      <c r="A149" s="39" t="s">
        <v>180</v>
      </c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25">
        <f>SUM(B149:M149)</f>
        <v>0</v>
      </c>
    </row>
    <row r="150" spans="1:14">
      <c r="A150" s="39" t="s">
        <v>181</v>
      </c>
      <c r="B150" s="41"/>
      <c r="C150" s="40">
        <f>B165*0.1/12</f>
        <v>48750</v>
      </c>
      <c r="D150" s="40">
        <f>C150+C165*0.1/12</f>
        <v>58753.75</v>
      </c>
      <c r="E150" s="40">
        <f>D150+D165*0.1/12</f>
        <v>59115.3645833333</v>
      </c>
      <c r="F150" s="40">
        <f>E150+E165*0.1/12</f>
        <v>51606.6592881945</v>
      </c>
      <c r="G150" s="40">
        <f>F150+F165*0.1/12</f>
        <v>49465.7147822627</v>
      </c>
      <c r="H150" s="40">
        <f>G150+G165*0.1/12</f>
        <v>655.762405448259</v>
      </c>
      <c r="I150" s="40">
        <v>0</v>
      </c>
      <c r="J150" s="40">
        <f>I150</f>
        <v>0</v>
      </c>
      <c r="K150" s="40">
        <f>J150</f>
        <v>0</v>
      </c>
      <c r="L150" s="40">
        <f>K150</f>
        <v>0</v>
      </c>
      <c r="M150" s="40">
        <f>L150+L165*0.1/12</f>
        <v>12969.1666666667</v>
      </c>
      <c r="N150" s="25">
        <f>SUM(B150:M150)</f>
        <v>281316.417725905</v>
      </c>
    </row>
    <row r="151" spans="1:14">
      <c r="A151" s="39" t="s">
        <v>182</v>
      </c>
      <c r="B151" s="40">
        <f>F90</f>
        <v>9405600</v>
      </c>
      <c r="C151" s="40">
        <f>F91</f>
        <v>4733700</v>
      </c>
      <c r="D151" s="40">
        <f>F92</f>
        <v>3870240</v>
      </c>
      <c r="E151" s="40">
        <f>F93</f>
        <v>3834240</v>
      </c>
      <c r="F151" s="40">
        <f>F94</f>
        <v>4049880</v>
      </c>
      <c r="G151" s="40">
        <f>F95</f>
        <v>4397340</v>
      </c>
      <c r="H151" s="40">
        <f>F96</f>
        <v>4756800</v>
      </c>
      <c r="I151" s="40">
        <f>F97</f>
        <v>5331900</v>
      </c>
      <c r="J151" s="40">
        <f>F98</f>
        <v>5931000</v>
      </c>
      <c r="K151" s="40">
        <f>F99</f>
        <v>6530100</v>
      </c>
      <c r="L151" s="40">
        <f>F100</f>
        <v>7668300</v>
      </c>
      <c r="M151" s="40">
        <f>F101</f>
        <v>8327400</v>
      </c>
      <c r="N151" s="25">
        <f>SUM(B151:M151)</f>
        <v>68836500</v>
      </c>
    </row>
    <row r="152" spans="1:14">
      <c r="A152" s="39" t="s">
        <v>183</v>
      </c>
      <c r="B152" s="40">
        <f>SUM(B148:B151)</f>
        <v>12005600</v>
      </c>
      <c r="C152" s="40">
        <f t="shared" ref="C152:I152" si="14">SUM(C148:C151)</f>
        <v>7382450</v>
      </c>
      <c r="D152" s="40">
        <f t="shared" si="14"/>
        <v>6528993.75</v>
      </c>
      <c r="E152" s="40">
        <f t="shared" si="14"/>
        <v>6493355.36458333</v>
      </c>
      <c r="F152" s="40">
        <f t="shared" si="14"/>
        <v>6701486.65928819</v>
      </c>
      <c r="G152" s="40">
        <f t="shared" si="14"/>
        <v>7046805.71478226</v>
      </c>
      <c r="H152" s="40">
        <f t="shared" si="14"/>
        <v>7357455.76240545</v>
      </c>
      <c r="I152" s="40">
        <f t="shared" si="14"/>
        <v>7931900</v>
      </c>
      <c r="J152" s="40">
        <f>SUM(J148:J151)</f>
        <v>8531000</v>
      </c>
      <c r="K152" s="40">
        <f>SUM(K148:K151)</f>
        <v>9130100</v>
      </c>
      <c r="L152" s="40">
        <f>SUM(L148:L151)</f>
        <v>10268300</v>
      </c>
      <c r="M152" s="40">
        <f>SUM(M148:M151)</f>
        <v>10940369.1666667</v>
      </c>
      <c r="N152" s="40">
        <f>SUM(N148:N151)</f>
        <v>71717816.4177259</v>
      </c>
    </row>
    <row r="153" spans="1:14">
      <c r="A153" s="39" t="s">
        <v>184</v>
      </c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25">
        <f>SUM(B153:M153)</f>
        <v>0</v>
      </c>
    </row>
    <row r="154" spans="1:14">
      <c r="A154" s="39" t="s">
        <v>54</v>
      </c>
      <c r="B154" s="40">
        <v>789600</v>
      </c>
      <c r="C154" s="40">
        <v>768000</v>
      </c>
      <c r="D154" s="40">
        <v>801600</v>
      </c>
      <c r="E154" s="40">
        <v>866400</v>
      </c>
      <c r="F154" s="40">
        <v>938400</v>
      </c>
      <c r="G154" s="40">
        <v>1044000</v>
      </c>
      <c r="H154" s="40">
        <v>1164000</v>
      </c>
      <c r="I154" s="40">
        <v>1284000</v>
      </c>
      <c r="J154" s="40">
        <v>1488000</v>
      </c>
      <c r="K154" s="40">
        <v>1644000</v>
      </c>
      <c r="L154" s="40">
        <v>1932000</v>
      </c>
      <c r="M154" s="40">
        <v>1144000</v>
      </c>
      <c r="N154" s="25">
        <f t="shared" ref="N154:N164" si="15">SUM(B154:M154)</f>
        <v>13864000</v>
      </c>
    </row>
    <row r="155" spans="1:14">
      <c r="A155" s="15" t="s">
        <v>56</v>
      </c>
      <c r="B155" s="25">
        <v>1536000</v>
      </c>
      <c r="C155" s="25">
        <v>1584000</v>
      </c>
      <c r="D155" s="25">
        <v>1704000</v>
      </c>
      <c r="E155" s="25">
        <v>1848000</v>
      </c>
      <c r="F155" s="25">
        <v>2040000</v>
      </c>
      <c r="G155" s="25">
        <v>2280000</v>
      </c>
      <c r="H155" s="25">
        <v>2520000</v>
      </c>
      <c r="I155" s="25">
        <v>2880000</v>
      </c>
      <c r="J155" s="25">
        <v>3240000</v>
      </c>
      <c r="K155" s="25">
        <v>3720000</v>
      </c>
      <c r="L155" s="25">
        <v>2800000</v>
      </c>
      <c r="M155" s="25">
        <v>1400000</v>
      </c>
      <c r="N155" s="25">
        <f t="shared" si="15"/>
        <v>27552000</v>
      </c>
    </row>
    <row r="156" spans="1:14">
      <c r="A156" s="15" t="s">
        <v>185</v>
      </c>
      <c r="B156" s="25">
        <v>700000</v>
      </c>
      <c r="C156" s="25">
        <v>700000</v>
      </c>
      <c r="D156" s="25">
        <v>700000</v>
      </c>
      <c r="E156" s="25">
        <v>700000</v>
      </c>
      <c r="F156" s="25">
        <v>700000</v>
      </c>
      <c r="G156" s="25">
        <v>700000</v>
      </c>
      <c r="H156" s="25">
        <v>700000</v>
      </c>
      <c r="I156" s="25">
        <v>700000</v>
      </c>
      <c r="J156" s="25">
        <v>700000</v>
      </c>
      <c r="K156" s="25">
        <v>700000</v>
      </c>
      <c r="L156" s="25">
        <v>700000</v>
      </c>
      <c r="M156" s="25">
        <v>700000</v>
      </c>
      <c r="N156" s="25">
        <f t="shared" si="15"/>
        <v>8400000</v>
      </c>
    </row>
    <row r="157" spans="1:14">
      <c r="A157" s="15" t="s">
        <v>186</v>
      </c>
      <c r="B157" s="25">
        <v>280000</v>
      </c>
      <c r="C157" s="25">
        <v>280000</v>
      </c>
      <c r="D157" s="25">
        <v>280000</v>
      </c>
      <c r="E157" s="25">
        <v>280000</v>
      </c>
      <c r="F157" s="25">
        <v>280000</v>
      </c>
      <c r="G157" s="25">
        <v>280000</v>
      </c>
      <c r="H157" s="25">
        <v>280000</v>
      </c>
      <c r="I157" s="25">
        <v>280000</v>
      </c>
      <c r="J157" s="25">
        <v>280000</v>
      </c>
      <c r="K157" s="25">
        <v>280000</v>
      </c>
      <c r="L157" s="25">
        <v>280000</v>
      </c>
      <c r="M157" s="25">
        <v>280000</v>
      </c>
      <c r="N157" s="25">
        <f t="shared" si="15"/>
        <v>3360000</v>
      </c>
    </row>
    <row r="158" spans="1:14">
      <c r="A158" s="15" t="s">
        <v>187</v>
      </c>
      <c r="B158" s="25">
        <v>250000</v>
      </c>
      <c r="C158" s="25">
        <v>250000</v>
      </c>
      <c r="D158" s="25">
        <v>250000</v>
      </c>
      <c r="E158" s="25">
        <v>250000</v>
      </c>
      <c r="F158" s="25">
        <v>250000</v>
      </c>
      <c r="G158" s="25">
        <v>250000</v>
      </c>
      <c r="H158" s="25">
        <v>250000</v>
      </c>
      <c r="I158" s="25">
        <v>250000</v>
      </c>
      <c r="J158" s="25">
        <v>250000</v>
      </c>
      <c r="K158" s="25">
        <v>250000</v>
      </c>
      <c r="L158" s="25">
        <v>250000</v>
      </c>
      <c r="M158" s="25">
        <v>250000</v>
      </c>
      <c r="N158" s="25">
        <f t="shared" si="15"/>
        <v>3000000</v>
      </c>
    </row>
    <row r="159" spans="1:14">
      <c r="A159" s="15" t="s">
        <v>188</v>
      </c>
      <c r="B159" s="25"/>
      <c r="C159" s="25"/>
      <c r="D159" s="25"/>
      <c r="E159" s="25">
        <v>100000</v>
      </c>
      <c r="F159" s="25"/>
      <c r="G159" s="25"/>
      <c r="H159" s="25"/>
      <c r="I159" s="25"/>
      <c r="J159" s="25">
        <v>100000</v>
      </c>
      <c r="K159" s="25"/>
      <c r="L159" s="25"/>
      <c r="M159" s="25"/>
      <c r="N159" s="25">
        <f t="shared" si="15"/>
        <v>200000</v>
      </c>
    </row>
    <row r="160" spans="1:14">
      <c r="A160" s="15" t="s">
        <v>189</v>
      </c>
      <c r="B160" s="25"/>
      <c r="C160" s="25"/>
      <c r="D160" s="25"/>
      <c r="E160" s="25">
        <v>750000</v>
      </c>
      <c r="F160" s="25"/>
      <c r="G160" s="25">
        <v>750000</v>
      </c>
      <c r="H160" s="25"/>
      <c r="I160" s="25"/>
      <c r="J160" s="25">
        <v>750000</v>
      </c>
      <c r="K160" s="25"/>
      <c r="L160" s="25"/>
      <c r="M160" s="25">
        <v>750000</v>
      </c>
      <c r="N160" s="25">
        <f t="shared" si="15"/>
        <v>3000000</v>
      </c>
    </row>
    <row r="161" spans="1:14">
      <c r="A161" s="15" t="s">
        <v>81</v>
      </c>
      <c r="B161" s="25"/>
      <c r="C161" s="25"/>
      <c r="D161" s="25">
        <v>150000</v>
      </c>
      <c r="E161" s="25"/>
      <c r="F161" s="25">
        <v>150000</v>
      </c>
      <c r="G161" s="25"/>
      <c r="H161" s="25"/>
      <c r="I161" s="25">
        <v>150000</v>
      </c>
      <c r="J161" s="25"/>
      <c r="K161" s="25"/>
      <c r="L161" s="25">
        <v>150000</v>
      </c>
      <c r="M161" s="25"/>
      <c r="N161" s="25">
        <f t="shared" si="15"/>
        <v>600000</v>
      </c>
    </row>
    <row r="162" spans="1:14">
      <c r="A162" s="15" t="s">
        <v>190</v>
      </c>
      <c r="B162" s="25"/>
      <c r="C162" s="25"/>
      <c r="D162" s="25"/>
      <c r="E162" s="25"/>
      <c r="F162" s="25"/>
      <c r="G162" s="25">
        <v>5000000</v>
      </c>
      <c r="H162" s="25"/>
      <c r="I162" s="25"/>
      <c r="J162" s="25"/>
      <c r="K162" s="25"/>
      <c r="L162" s="25"/>
      <c r="M162" s="25"/>
      <c r="N162" s="25">
        <f>SUM(B162:M162)</f>
        <v>5000000</v>
      </c>
    </row>
    <row r="163" spans="1:14">
      <c r="A163" s="15" t="s">
        <v>85</v>
      </c>
      <c r="B163" s="25">
        <f>SUM(B154:B162)</f>
        <v>3555600</v>
      </c>
      <c r="C163" s="25">
        <f t="shared" ref="C163:I163" si="16">SUM(C154:C162)</f>
        <v>3582000</v>
      </c>
      <c r="D163" s="25">
        <f t="shared" si="16"/>
        <v>3885600</v>
      </c>
      <c r="E163" s="25">
        <f t="shared" si="16"/>
        <v>4794400</v>
      </c>
      <c r="F163" s="25">
        <f t="shared" si="16"/>
        <v>4358400</v>
      </c>
      <c r="G163" s="25">
        <f t="shared" si="16"/>
        <v>10304000</v>
      </c>
      <c r="H163" s="25">
        <f t="shared" si="16"/>
        <v>4914000</v>
      </c>
      <c r="I163" s="25">
        <f t="shared" si="16"/>
        <v>5544000</v>
      </c>
      <c r="J163" s="25">
        <f>SUM(J154:J162)</f>
        <v>6808000</v>
      </c>
      <c r="K163" s="25">
        <f>SUM(K154:K162)</f>
        <v>6594000</v>
      </c>
      <c r="L163" s="25">
        <f>SUM(L154:L162)</f>
        <v>6112000</v>
      </c>
      <c r="M163" s="25">
        <f>SUM(M154:M162)</f>
        <v>4524000</v>
      </c>
      <c r="N163" s="25">
        <f>SUM(N154:N162)</f>
        <v>64976000</v>
      </c>
    </row>
    <row r="164" spans="1:14">
      <c r="A164" s="15" t="s">
        <v>191</v>
      </c>
      <c r="B164" s="25">
        <f>B152-B163</f>
        <v>8450000</v>
      </c>
      <c r="C164" s="25">
        <f>C152-C163</f>
        <v>3800450</v>
      </c>
      <c r="D164" s="25">
        <f>D152-D163</f>
        <v>2643393.75</v>
      </c>
      <c r="E164" s="25">
        <f>E152-E163</f>
        <v>1698955.36458333</v>
      </c>
      <c r="F164" s="25">
        <f>F152-F163</f>
        <v>2343086.65928819</v>
      </c>
      <c r="G164" s="25">
        <f>G152-G163</f>
        <v>-3257194.28521774</v>
      </c>
      <c r="H164" s="25">
        <f>H152-H163</f>
        <v>2443455.76240545</v>
      </c>
      <c r="I164" s="25">
        <f>I152-I163</f>
        <v>2387900</v>
      </c>
      <c r="J164" s="25">
        <f>J152-J163</f>
        <v>1723000</v>
      </c>
      <c r="K164" s="25">
        <f>K152-K163</f>
        <v>2536100</v>
      </c>
      <c r="L164" s="25">
        <f>L152-L163</f>
        <v>4156300</v>
      </c>
      <c r="M164" s="25">
        <f>M152-M163</f>
        <v>6416369.16666667</v>
      </c>
      <c r="N164" s="25">
        <f>N152-N163</f>
        <v>6741816.41772591</v>
      </c>
    </row>
    <row r="165" spans="1:14">
      <c r="A165" s="15" t="s">
        <v>192</v>
      </c>
      <c r="B165" s="25">
        <f>B164-B167</f>
        <v>5850000</v>
      </c>
      <c r="C165" s="25">
        <f>C164-C167</f>
        <v>1200450</v>
      </c>
      <c r="D165" s="25">
        <f>D164-D167</f>
        <v>43393.75</v>
      </c>
      <c r="E165" s="25">
        <f>E164-E167</f>
        <v>-901044.635416666</v>
      </c>
      <c r="F165" s="25">
        <f>F164-F167</f>
        <v>-256913.340711806</v>
      </c>
      <c r="G165" s="25">
        <f>G164-G167</f>
        <v>-5857194.28521774</v>
      </c>
      <c r="H165" s="25">
        <v>-78691</v>
      </c>
      <c r="I165" s="25">
        <v>0</v>
      </c>
      <c r="J165" s="25"/>
      <c r="K165" s="25"/>
      <c r="L165" s="25">
        <f>L164-L167</f>
        <v>1556300</v>
      </c>
      <c r="M165" s="25">
        <f>M164-M167</f>
        <v>3816369.16666667</v>
      </c>
      <c r="N165" s="25">
        <f>SUM(B165:M165)</f>
        <v>5372669.65532046</v>
      </c>
    </row>
    <row r="166" spans="1:14">
      <c r="A166" s="15" t="s">
        <v>88</v>
      </c>
      <c r="B166" s="25"/>
      <c r="C166" s="25"/>
      <c r="D166" s="25"/>
      <c r="E166" s="25"/>
      <c r="F166" s="25"/>
      <c r="G166" s="32"/>
      <c r="H166" s="25">
        <f>H167-H164-H165</f>
        <v>235235.237594552</v>
      </c>
      <c r="I166" s="25">
        <f>I167-I164</f>
        <v>212100</v>
      </c>
      <c r="J166" s="25">
        <f>J167-J164</f>
        <v>877000</v>
      </c>
      <c r="K166" s="25">
        <f>K167-K164</f>
        <v>63900</v>
      </c>
      <c r="L166" s="25"/>
      <c r="M166" s="25"/>
      <c r="N166" s="32">
        <f>SUM(B166:M166)</f>
        <v>1388235.23759455</v>
      </c>
    </row>
    <row r="167" spans="1:14">
      <c r="A167" s="15" t="s">
        <v>193</v>
      </c>
      <c r="B167" s="25">
        <v>2600000</v>
      </c>
      <c r="C167" s="25">
        <v>2600000</v>
      </c>
      <c r="D167" s="25">
        <v>2600000</v>
      </c>
      <c r="E167" s="25">
        <v>2600000</v>
      </c>
      <c r="F167" s="25">
        <v>2600000</v>
      </c>
      <c r="G167" s="25">
        <v>2600000</v>
      </c>
      <c r="H167" s="25">
        <v>2600000</v>
      </c>
      <c r="I167" s="25">
        <v>2600000</v>
      </c>
      <c r="J167" s="25">
        <v>2600000</v>
      </c>
      <c r="K167" s="25">
        <v>2600000</v>
      </c>
      <c r="L167" s="25">
        <v>2600000</v>
      </c>
      <c r="M167" s="25">
        <v>2600000</v>
      </c>
      <c r="N167" s="25">
        <v>2600000</v>
      </c>
    </row>
    <row r="169" spans="2:2">
      <c r="B169" t="s">
        <v>205</v>
      </c>
    </row>
    <row r="172" spans="2:6">
      <c r="B172" s="33" t="s">
        <v>206</v>
      </c>
      <c r="C172" s="34"/>
      <c r="D172" s="34"/>
      <c r="E172" s="34"/>
      <c r="F172" s="34"/>
    </row>
    <row r="173" spans="2:6">
      <c r="B173" s="42" t="s">
        <v>161</v>
      </c>
      <c r="C173" s="42" t="s">
        <v>162</v>
      </c>
      <c r="D173" s="42" t="s">
        <v>167</v>
      </c>
      <c r="E173" s="42" t="s">
        <v>207</v>
      </c>
      <c r="F173" s="42" t="s">
        <v>198</v>
      </c>
    </row>
    <row r="174" spans="2:6">
      <c r="B174" s="15">
        <v>2022</v>
      </c>
      <c r="C174" s="15">
        <v>11</v>
      </c>
      <c r="D174" s="25">
        <v>6500000</v>
      </c>
      <c r="E174" s="25">
        <v>5200000</v>
      </c>
      <c r="F174" s="25"/>
    </row>
    <row r="175" spans="2:6">
      <c r="B175" s="15"/>
      <c r="C175" s="15">
        <v>12</v>
      </c>
      <c r="D175" s="25">
        <v>8000000</v>
      </c>
      <c r="E175" s="25">
        <v>6400000</v>
      </c>
      <c r="F175" s="25"/>
    </row>
    <row r="176" spans="2:6">
      <c r="B176" s="15">
        <v>2023</v>
      </c>
      <c r="C176" s="15">
        <v>1</v>
      </c>
      <c r="D176" s="25">
        <v>3500000</v>
      </c>
      <c r="E176" s="25">
        <v>2800000</v>
      </c>
      <c r="F176" s="25">
        <f>E174*0.1+E175*0.15*0.99+E175*0.75</f>
        <v>6270400</v>
      </c>
    </row>
    <row r="177" spans="2:6">
      <c r="B177" s="15"/>
      <c r="C177" s="15">
        <v>2</v>
      </c>
      <c r="D177" s="25">
        <v>3200000</v>
      </c>
      <c r="E177" s="25">
        <v>2560000</v>
      </c>
      <c r="F177" s="25">
        <f t="shared" ref="F177:F188" si="17">E175*0.1+E176*0.15*0.99+E176*0.75</f>
        <v>3155800</v>
      </c>
    </row>
    <row r="178" spans="2:6">
      <c r="B178" s="15"/>
      <c r="C178" s="15">
        <v>3</v>
      </c>
      <c r="D178" s="25">
        <v>3200000</v>
      </c>
      <c r="E178" s="25">
        <v>2560000</v>
      </c>
      <c r="F178" s="25">
        <f t="shared" si="17"/>
        <v>2580160</v>
      </c>
    </row>
    <row r="179" spans="2:6">
      <c r="B179" s="15"/>
      <c r="C179" s="15">
        <v>4</v>
      </c>
      <c r="D179" s="25">
        <v>3400000</v>
      </c>
      <c r="E179" s="25">
        <v>2720000</v>
      </c>
      <c r="F179" s="25">
        <f t="shared" si="17"/>
        <v>2556160</v>
      </c>
    </row>
    <row r="180" spans="2:6">
      <c r="B180" s="15"/>
      <c r="C180" s="15">
        <v>5</v>
      </c>
      <c r="D180" s="25">
        <v>3700000</v>
      </c>
      <c r="E180" s="25">
        <v>2960000</v>
      </c>
      <c r="F180" s="25">
        <f t="shared" si="17"/>
        <v>2699920</v>
      </c>
    </row>
    <row r="181" spans="2:6">
      <c r="B181" s="15"/>
      <c r="C181" s="15">
        <v>6</v>
      </c>
      <c r="D181" s="25">
        <v>4000000</v>
      </c>
      <c r="E181" s="25">
        <v>3200000</v>
      </c>
      <c r="F181" s="25">
        <f t="shared" si="17"/>
        <v>2931560</v>
      </c>
    </row>
    <row r="182" spans="2:6">
      <c r="B182" s="15"/>
      <c r="C182" s="15">
        <v>7</v>
      </c>
      <c r="D182" s="25">
        <v>4500000</v>
      </c>
      <c r="E182" s="25">
        <v>3600000</v>
      </c>
      <c r="F182" s="25">
        <f t="shared" si="17"/>
        <v>3171200</v>
      </c>
    </row>
    <row r="183" spans="2:6">
      <c r="B183" s="15"/>
      <c r="C183" s="15">
        <v>8</v>
      </c>
      <c r="D183" s="25">
        <v>5000000</v>
      </c>
      <c r="E183" s="25">
        <v>4000000</v>
      </c>
      <c r="F183" s="25">
        <f t="shared" si="17"/>
        <v>3554600</v>
      </c>
    </row>
    <row r="184" spans="2:6">
      <c r="B184" s="15"/>
      <c r="C184" s="15">
        <v>9</v>
      </c>
      <c r="D184" s="25">
        <v>5500000</v>
      </c>
      <c r="E184" s="25">
        <v>4400000</v>
      </c>
      <c r="F184" s="25">
        <f t="shared" si="17"/>
        <v>3954000</v>
      </c>
    </row>
    <row r="185" spans="2:6">
      <c r="B185" s="15"/>
      <c r="C185" s="15">
        <v>10</v>
      </c>
      <c r="D185" s="25">
        <v>6500000</v>
      </c>
      <c r="E185" s="25">
        <v>5200000</v>
      </c>
      <c r="F185" s="25">
        <f t="shared" si="17"/>
        <v>4353400</v>
      </c>
    </row>
    <row r="186" spans="2:6">
      <c r="B186" s="15"/>
      <c r="C186" s="15">
        <v>11</v>
      </c>
      <c r="D186" s="25">
        <v>7000000</v>
      </c>
      <c r="E186" s="25">
        <v>5600000</v>
      </c>
      <c r="F186" s="25">
        <f t="shared" si="17"/>
        <v>5112200</v>
      </c>
    </row>
    <row r="187" spans="2:6">
      <c r="B187" s="15"/>
      <c r="C187" s="15">
        <v>12</v>
      </c>
      <c r="D187" s="25">
        <v>8500000</v>
      </c>
      <c r="E187" s="25">
        <v>6800000</v>
      </c>
      <c r="F187" s="25">
        <f t="shared" si="17"/>
        <v>5551600</v>
      </c>
    </row>
    <row r="188" spans="2:6">
      <c r="B188" s="15">
        <v>2024</v>
      </c>
      <c r="C188" s="15">
        <v>1</v>
      </c>
      <c r="D188" s="25">
        <v>3800000</v>
      </c>
      <c r="E188" s="25"/>
      <c r="F188" s="25">
        <f t="shared" si="17"/>
        <v>6669800</v>
      </c>
    </row>
    <row r="189" spans="2:6">
      <c r="B189" s="15"/>
      <c r="C189" s="15">
        <v>2</v>
      </c>
      <c r="D189" s="25">
        <v>3200000</v>
      </c>
      <c r="E189" s="25"/>
      <c r="F189" s="25"/>
    </row>
    <row r="192" spans="2:7">
      <c r="B192" s="33" t="s">
        <v>208</v>
      </c>
      <c r="C192" s="7"/>
      <c r="D192" s="7"/>
      <c r="E192" s="7"/>
      <c r="F192" s="7"/>
      <c r="G192" s="7"/>
    </row>
    <row r="193" spans="2:7">
      <c r="B193" s="31" t="s">
        <v>161</v>
      </c>
      <c r="C193" s="31" t="s">
        <v>162</v>
      </c>
      <c r="D193" s="31" t="s">
        <v>167</v>
      </c>
      <c r="E193" s="31" t="s">
        <v>209</v>
      </c>
      <c r="F193" s="31" t="s">
        <v>201</v>
      </c>
      <c r="G193" s="31" t="s">
        <v>169</v>
      </c>
    </row>
    <row r="194" spans="2:7">
      <c r="B194" s="15">
        <v>2022</v>
      </c>
      <c r="C194" s="15">
        <v>11</v>
      </c>
      <c r="D194" s="25">
        <v>6500000</v>
      </c>
      <c r="E194" s="25">
        <v>5200000</v>
      </c>
      <c r="F194" s="25">
        <v>1300000</v>
      </c>
      <c r="G194" s="25"/>
    </row>
    <row r="195" spans="2:7">
      <c r="B195" s="15"/>
      <c r="C195" s="15">
        <v>12</v>
      </c>
      <c r="D195" s="25">
        <v>8000000</v>
      </c>
      <c r="E195" s="25">
        <v>6400000</v>
      </c>
      <c r="F195" s="25">
        <v>1600000</v>
      </c>
      <c r="G195" s="25"/>
    </row>
    <row r="196" spans="2:7">
      <c r="B196" s="15">
        <v>2023</v>
      </c>
      <c r="C196" s="15">
        <v>1</v>
      </c>
      <c r="D196" s="25">
        <v>3500000</v>
      </c>
      <c r="E196" s="25">
        <v>2800000</v>
      </c>
      <c r="F196" s="25">
        <v>560000</v>
      </c>
      <c r="G196" s="25">
        <v>526400</v>
      </c>
    </row>
    <row r="197" spans="2:7">
      <c r="B197" s="15"/>
      <c r="C197" s="15">
        <v>2</v>
      </c>
      <c r="D197" s="25">
        <v>3200000</v>
      </c>
      <c r="E197" s="25">
        <v>2560000</v>
      </c>
      <c r="F197" s="25">
        <v>512000</v>
      </c>
      <c r="G197" s="25">
        <v>512000</v>
      </c>
    </row>
    <row r="198" spans="2:7">
      <c r="B198" s="15"/>
      <c r="C198" s="15">
        <v>3</v>
      </c>
      <c r="D198" s="25">
        <v>3200000</v>
      </c>
      <c r="E198" s="25">
        <v>2560000</v>
      </c>
      <c r="F198" s="25">
        <v>512000</v>
      </c>
      <c r="G198" s="25">
        <v>534400</v>
      </c>
    </row>
    <row r="199" spans="2:7">
      <c r="B199" s="15"/>
      <c r="C199" s="15">
        <v>4</v>
      </c>
      <c r="D199" s="25">
        <v>3400000</v>
      </c>
      <c r="E199" s="25">
        <v>2720000</v>
      </c>
      <c r="F199" s="25">
        <v>544000</v>
      </c>
      <c r="G199" s="25">
        <v>577600</v>
      </c>
    </row>
    <row r="200" spans="2:7">
      <c r="B200" s="15"/>
      <c r="C200" s="15">
        <v>5</v>
      </c>
      <c r="D200" s="25">
        <v>3700000</v>
      </c>
      <c r="E200" s="25">
        <v>2960000</v>
      </c>
      <c r="F200" s="25">
        <v>592000</v>
      </c>
      <c r="G200" s="25">
        <v>625600</v>
      </c>
    </row>
    <row r="201" spans="2:7">
      <c r="B201" s="15"/>
      <c r="C201" s="15">
        <v>6</v>
      </c>
      <c r="D201" s="25">
        <v>4000000</v>
      </c>
      <c r="E201" s="25">
        <v>3200000</v>
      </c>
      <c r="F201" s="25">
        <v>640000</v>
      </c>
      <c r="G201" s="25">
        <v>696000</v>
      </c>
    </row>
    <row r="202" spans="2:7">
      <c r="B202" s="15"/>
      <c r="C202" s="15">
        <v>7</v>
      </c>
      <c r="D202" s="25">
        <v>4500000</v>
      </c>
      <c r="E202" s="25">
        <v>3600000</v>
      </c>
      <c r="F202" s="25">
        <v>720000</v>
      </c>
      <c r="G202" s="25">
        <v>776000</v>
      </c>
    </row>
    <row r="203" spans="2:7">
      <c r="B203" s="15"/>
      <c r="C203" s="15">
        <v>8</v>
      </c>
      <c r="D203" s="25">
        <v>5000000</v>
      </c>
      <c r="E203" s="25">
        <v>4000000</v>
      </c>
      <c r="F203" s="25">
        <v>800000</v>
      </c>
      <c r="G203" s="25">
        <v>856000</v>
      </c>
    </row>
    <row r="204" spans="2:7">
      <c r="B204" s="15"/>
      <c r="C204" s="15">
        <v>9</v>
      </c>
      <c r="D204" s="25">
        <v>5500000</v>
      </c>
      <c r="E204" s="25">
        <v>4400000</v>
      </c>
      <c r="F204" s="25">
        <v>880000</v>
      </c>
      <c r="G204" s="25">
        <v>992000</v>
      </c>
    </row>
    <row r="205" spans="2:7">
      <c r="B205" s="15"/>
      <c r="C205" s="15">
        <v>10</v>
      </c>
      <c r="D205" s="25">
        <v>6500000</v>
      </c>
      <c r="E205" s="25">
        <v>5200000</v>
      </c>
      <c r="F205" s="25">
        <v>1040000</v>
      </c>
      <c r="G205" s="25">
        <v>1096000</v>
      </c>
    </row>
    <row r="206" spans="2:7">
      <c r="B206" s="15"/>
      <c r="C206" s="15">
        <v>11</v>
      </c>
      <c r="D206" s="25">
        <v>7000000</v>
      </c>
      <c r="E206" s="25">
        <v>5600000</v>
      </c>
      <c r="F206" s="25">
        <v>1120000</v>
      </c>
      <c r="G206" s="25">
        <v>1288000</v>
      </c>
    </row>
    <row r="207" spans="2:7">
      <c r="B207" s="15"/>
      <c r="C207" s="15">
        <v>12</v>
      </c>
      <c r="D207" s="25">
        <v>8500000</v>
      </c>
      <c r="E207" s="25">
        <v>6800000</v>
      </c>
      <c r="F207" s="25">
        <v>1360000</v>
      </c>
      <c r="G207" s="25">
        <v>940000</v>
      </c>
    </row>
    <row r="208" spans="2:7">
      <c r="B208" s="15">
        <v>2024</v>
      </c>
      <c r="C208" s="15">
        <v>1</v>
      </c>
      <c r="D208" s="25">
        <v>3800000</v>
      </c>
      <c r="E208" s="25"/>
      <c r="F208" s="25"/>
      <c r="G208" s="25"/>
    </row>
    <row r="209" spans="2:7">
      <c r="B209" s="15"/>
      <c r="C209" s="15">
        <v>2</v>
      </c>
      <c r="D209" s="25">
        <v>3200000</v>
      </c>
      <c r="E209" s="25"/>
      <c r="F209" s="25"/>
      <c r="G209" s="25"/>
    </row>
    <row r="212" spans="2:7">
      <c r="B212" s="33" t="s">
        <v>210</v>
      </c>
      <c r="C212" s="34"/>
      <c r="D212" s="34"/>
      <c r="E212" s="34"/>
      <c r="F212" s="34"/>
      <c r="G212" s="34"/>
    </row>
    <row r="213" spans="2:6">
      <c r="B213" s="31" t="s">
        <v>161</v>
      </c>
      <c r="C213" s="31" t="s">
        <v>162</v>
      </c>
      <c r="D213" s="31" t="s">
        <v>167</v>
      </c>
      <c r="E213" s="31" t="s">
        <v>201</v>
      </c>
      <c r="F213" s="31" t="s">
        <v>169</v>
      </c>
    </row>
    <row r="214" spans="2:6">
      <c r="B214" s="15">
        <v>2022</v>
      </c>
      <c r="C214" s="15">
        <v>11</v>
      </c>
      <c r="D214" s="25">
        <v>6500000</v>
      </c>
      <c r="E214" s="25">
        <v>2600000</v>
      </c>
      <c r="F214" s="25"/>
    </row>
    <row r="215" spans="2:6">
      <c r="B215" s="15"/>
      <c r="C215" s="15">
        <v>12</v>
      </c>
      <c r="D215" s="25">
        <v>8000000</v>
      </c>
      <c r="E215" s="25">
        <v>3200000</v>
      </c>
      <c r="F215" s="25"/>
    </row>
    <row r="216" spans="2:6">
      <c r="B216" s="15">
        <v>2023</v>
      </c>
      <c r="C216" s="15">
        <v>1</v>
      </c>
      <c r="D216" s="25">
        <v>3500000</v>
      </c>
      <c r="E216" s="25">
        <v>1120000</v>
      </c>
      <c r="F216" s="25">
        <v>1024000</v>
      </c>
    </row>
    <row r="217" spans="2:6">
      <c r="B217" s="15"/>
      <c r="C217" s="15">
        <v>2</v>
      </c>
      <c r="D217" s="25">
        <v>3200000</v>
      </c>
      <c r="E217" s="25">
        <v>1024000</v>
      </c>
      <c r="F217" s="25">
        <v>1056000</v>
      </c>
    </row>
    <row r="218" spans="2:6">
      <c r="B218" s="15"/>
      <c r="C218" s="15">
        <v>3</v>
      </c>
      <c r="D218" s="25">
        <v>3200000</v>
      </c>
      <c r="E218" s="25">
        <v>1024000</v>
      </c>
      <c r="F218" s="25">
        <v>1136000</v>
      </c>
    </row>
    <row r="219" spans="2:6">
      <c r="B219" s="15"/>
      <c r="C219" s="15">
        <v>4</v>
      </c>
      <c r="D219" s="25">
        <v>3400000</v>
      </c>
      <c r="E219" s="25">
        <v>1088000</v>
      </c>
      <c r="F219" s="25">
        <v>1232000</v>
      </c>
    </row>
    <row r="220" spans="2:6">
      <c r="B220" s="15"/>
      <c r="C220" s="15">
        <v>5</v>
      </c>
      <c r="D220" s="25">
        <v>3700000</v>
      </c>
      <c r="E220" s="25">
        <v>1184000</v>
      </c>
      <c r="F220" s="25">
        <v>1360000</v>
      </c>
    </row>
    <row r="221" spans="2:6">
      <c r="B221" s="15"/>
      <c r="C221" s="15">
        <v>6</v>
      </c>
      <c r="D221" s="25">
        <v>4000000</v>
      </c>
      <c r="E221" s="25">
        <v>1280000</v>
      </c>
      <c r="F221" s="25">
        <v>1520000</v>
      </c>
    </row>
    <row r="222" spans="2:6">
      <c r="B222" s="15"/>
      <c r="C222" s="15">
        <v>7</v>
      </c>
      <c r="D222" s="25">
        <v>4500000</v>
      </c>
      <c r="E222" s="25">
        <v>1440000</v>
      </c>
      <c r="F222" s="25">
        <v>1680000</v>
      </c>
    </row>
    <row r="223" spans="2:6">
      <c r="B223" s="15"/>
      <c r="C223" s="15">
        <v>8</v>
      </c>
      <c r="D223" s="25">
        <v>5000000</v>
      </c>
      <c r="E223" s="25">
        <v>1600000</v>
      </c>
      <c r="F223" s="25">
        <v>1920000</v>
      </c>
    </row>
    <row r="224" spans="2:6">
      <c r="B224" s="15"/>
      <c r="C224" s="15">
        <v>9</v>
      </c>
      <c r="D224" s="25">
        <v>5500000</v>
      </c>
      <c r="E224" s="25">
        <v>1760000</v>
      </c>
      <c r="F224" s="25">
        <v>2160000</v>
      </c>
    </row>
    <row r="225" spans="2:6">
      <c r="B225" s="15"/>
      <c r="C225" s="15">
        <v>10</v>
      </c>
      <c r="D225" s="25">
        <v>6500000</v>
      </c>
      <c r="E225" s="25">
        <v>2080000</v>
      </c>
      <c r="F225" s="25">
        <v>2480000</v>
      </c>
    </row>
    <row r="226" spans="2:6">
      <c r="B226" s="15"/>
      <c r="C226" s="15">
        <v>11</v>
      </c>
      <c r="D226" s="25">
        <v>7000000</v>
      </c>
      <c r="E226" s="25">
        <v>2240000</v>
      </c>
      <c r="F226" s="25">
        <v>2120000</v>
      </c>
    </row>
    <row r="227" spans="2:6">
      <c r="B227" s="15"/>
      <c r="C227" s="15">
        <v>12</v>
      </c>
      <c r="D227" s="25">
        <v>8500000</v>
      </c>
      <c r="E227" s="25">
        <v>2720000</v>
      </c>
      <c r="F227" s="25">
        <v>1400000</v>
      </c>
    </row>
    <row r="228" spans="2:6">
      <c r="B228" s="15">
        <v>2024</v>
      </c>
      <c r="C228" s="15">
        <v>1</v>
      </c>
      <c r="D228" s="25">
        <v>3800000</v>
      </c>
      <c r="E228" s="25">
        <v>1520000</v>
      </c>
      <c r="F228" s="25"/>
    </row>
    <row r="229" spans="2:6">
      <c r="B229" s="15"/>
      <c r="C229" s="15">
        <v>2</v>
      </c>
      <c r="D229" s="25">
        <v>3200000</v>
      </c>
      <c r="E229" s="25">
        <v>1280000</v>
      </c>
      <c r="F229" s="25"/>
    </row>
    <row r="232" spans="1:14">
      <c r="A232" s="44" t="s">
        <v>203</v>
      </c>
      <c r="B232" s="31" t="s">
        <v>211</v>
      </c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</row>
    <row r="233" spans="1:14">
      <c r="A233" s="46"/>
      <c r="B233" s="31" t="s">
        <v>173</v>
      </c>
      <c r="C233" s="31" t="s">
        <v>110</v>
      </c>
      <c r="D233" s="31" t="s">
        <v>111</v>
      </c>
      <c r="E233" s="31" t="s">
        <v>112</v>
      </c>
      <c r="F233" s="31" t="s">
        <v>113</v>
      </c>
      <c r="G233" s="31" t="s">
        <v>114</v>
      </c>
      <c r="H233" s="31" t="s">
        <v>115</v>
      </c>
      <c r="I233" s="31" t="s">
        <v>174</v>
      </c>
      <c r="J233" s="31" t="s">
        <v>175</v>
      </c>
      <c r="K233" s="31" t="s">
        <v>176</v>
      </c>
      <c r="L233" s="31" t="s">
        <v>177</v>
      </c>
      <c r="M233" s="31" t="s">
        <v>178</v>
      </c>
      <c r="N233" s="31" t="s">
        <v>17</v>
      </c>
    </row>
    <row r="234" spans="1:14">
      <c r="A234" s="47" t="s">
        <v>179</v>
      </c>
      <c r="B234" s="25">
        <v>2600000</v>
      </c>
      <c r="C234" s="25">
        <f>B253</f>
        <v>2600000</v>
      </c>
      <c r="D234" s="25">
        <f>C253</f>
        <v>2600000</v>
      </c>
      <c r="E234" s="25">
        <f>D253</f>
        <v>2600000</v>
      </c>
      <c r="F234" s="25">
        <f>E253</f>
        <v>2600000</v>
      </c>
      <c r="G234" s="25">
        <f>F253</f>
        <v>2600000</v>
      </c>
      <c r="H234" s="25">
        <f t="shared" ref="H234:M234" si="18">G253</f>
        <v>2600000</v>
      </c>
      <c r="I234" s="25">
        <f t="shared" si="18"/>
        <v>2600000</v>
      </c>
      <c r="J234" s="25">
        <f t="shared" si="18"/>
        <v>2600000</v>
      </c>
      <c r="K234" s="25">
        <f t="shared" si="18"/>
        <v>2600000</v>
      </c>
      <c r="L234" s="25">
        <f t="shared" si="18"/>
        <v>2600000</v>
      </c>
      <c r="M234" s="25">
        <f t="shared" si="18"/>
        <v>2600000</v>
      </c>
      <c r="N234" s="25">
        <f>B234</f>
        <v>2600000</v>
      </c>
    </row>
    <row r="235" spans="1:14">
      <c r="A235" s="47" t="s">
        <v>180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</row>
    <row r="236" spans="1:14">
      <c r="A236" s="47" t="s">
        <v>181</v>
      </c>
      <c r="B236" s="25"/>
      <c r="C236" s="25">
        <f>B251*0.1/12</f>
        <v>29083.3333333333</v>
      </c>
      <c r="D236" s="25">
        <f>C236+C251*0.1/12</f>
        <v>32307.3611111111</v>
      </c>
      <c r="E236" s="25">
        <f>D236+D251*0.1/12</f>
        <v>28657.9224537037</v>
      </c>
      <c r="F236" s="25">
        <f>E236+E251*0.1/12</f>
        <v>17784.7384741512</v>
      </c>
      <c r="G236" s="25">
        <f>F236+F251*0.1/12</f>
        <v>12385.6112947692</v>
      </c>
      <c r="H236" s="25">
        <v>0</v>
      </c>
      <c r="I236" s="25">
        <f>H236</f>
        <v>0</v>
      </c>
      <c r="J236" s="25">
        <f>I236</f>
        <v>0</v>
      </c>
      <c r="K236" s="25">
        <f>J236</f>
        <v>0</v>
      </c>
      <c r="L236" s="25">
        <f>K236</f>
        <v>0</v>
      </c>
      <c r="M236" s="25">
        <f>L236+L251*0.1/12</f>
        <v>2701.66666666667</v>
      </c>
      <c r="N236" s="25">
        <f>SUM(B236:M236)</f>
        <v>122920.633333735</v>
      </c>
    </row>
    <row r="237" spans="1:14">
      <c r="A237" s="47" t="s">
        <v>182</v>
      </c>
      <c r="B237" s="25">
        <f>F176</f>
        <v>6270400</v>
      </c>
      <c r="C237" s="25">
        <f>F177</f>
        <v>3155800</v>
      </c>
      <c r="D237" s="25">
        <f>F178</f>
        <v>2580160</v>
      </c>
      <c r="E237" s="25">
        <f>F179</f>
        <v>2556160</v>
      </c>
      <c r="F237" s="25">
        <f>F180</f>
        <v>2699920</v>
      </c>
      <c r="G237" s="25">
        <f>F181</f>
        <v>2931560</v>
      </c>
      <c r="H237" s="25">
        <f>F182</f>
        <v>3171200</v>
      </c>
      <c r="I237" s="25">
        <f>F183</f>
        <v>3554600</v>
      </c>
      <c r="J237" s="25">
        <f>F184</f>
        <v>3954000</v>
      </c>
      <c r="K237" s="25">
        <f>F185</f>
        <v>4353400</v>
      </c>
      <c r="L237" s="25">
        <f>F186</f>
        <v>5112200</v>
      </c>
      <c r="M237" s="25">
        <f>F187</f>
        <v>5551600</v>
      </c>
      <c r="N237" s="25">
        <f>SUM(B237:M237)</f>
        <v>45891000</v>
      </c>
    </row>
    <row r="238" spans="1:14">
      <c r="A238" s="47" t="s">
        <v>183</v>
      </c>
      <c r="B238" s="25">
        <f>SUM(B234:B237)</f>
        <v>8870400</v>
      </c>
      <c r="C238" s="25">
        <f>SUM(C234:C237)</f>
        <v>5784883.33333333</v>
      </c>
      <c r="D238" s="25">
        <f>SUM(D234:D237)</f>
        <v>5212467.36111111</v>
      </c>
      <c r="E238" s="25">
        <f>SUM(E234:E237)</f>
        <v>5184817.9224537</v>
      </c>
      <c r="F238" s="25">
        <f t="shared" ref="F238:K238" si="19">SUM(F234:F237)</f>
        <v>5317704.73847415</v>
      </c>
      <c r="G238" s="25">
        <f t="shared" si="19"/>
        <v>5543945.61129477</v>
      </c>
      <c r="H238" s="25">
        <f t="shared" si="19"/>
        <v>5771200</v>
      </c>
      <c r="I238" s="25">
        <f t="shared" si="19"/>
        <v>6154600</v>
      </c>
      <c r="J238" s="25">
        <f t="shared" si="19"/>
        <v>6554000</v>
      </c>
      <c r="K238" s="25">
        <f t="shared" si="19"/>
        <v>6953400</v>
      </c>
      <c r="L238" s="25">
        <f>SUM(L234:L237)</f>
        <v>7712200</v>
      </c>
      <c r="M238" s="25">
        <f>SUM(M234:M237)</f>
        <v>8154301.66666667</v>
      </c>
      <c r="N238" s="25">
        <f>SUM(N234:N237)</f>
        <v>48613920.6333337</v>
      </c>
    </row>
    <row r="239" spans="1:14">
      <c r="A239" s="47" t="s">
        <v>184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</row>
    <row r="240" spans="1:14">
      <c r="A240" s="47" t="s">
        <v>54</v>
      </c>
      <c r="B240" s="25">
        <v>526400</v>
      </c>
      <c r="C240" s="25">
        <v>512000</v>
      </c>
      <c r="D240" s="25">
        <v>534400</v>
      </c>
      <c r="E240" s="25">
        <v>577600</v>
      </c>
      <c r="F240" s="25">
        <v>625600</v>
      </c>
      <c r="G240" s="25">
        <v>696000</v>
      </c>
      <c r="H240" s="25">
        <v>776000</v>
      </c>
      <c r="I240" s="25">
        <v>856000</v>
      </c>
      <c r="J240" s="25">
        <v>992000</v>
      </c>
      <c r="K240" s="25">
        <v>1096000</v>
      </c>
      <c r="L240" s="25">
        <v>1288000</v>
      </c>
      <c r="M240" s="25">
        <v>940000</v>
      </c>
      <c r="N240" s="25">
        <f>SUM(B240:M240)</f>
        <v>9420000</v>
      </c>
    </row>
    <row r="241" spans="1:14">
      <c r="A241" s="47" t="s">
        <v>56</v>
      </c>
      <c r="B241" s="25">
        <v>1024000</v>
      </c>
      <c r="C241" s="25">
        <v>1056000</v>
      </c>
      <c r="D241" s="25">
        <v>1136000</v>
      </c>
      <c r="E241" s="25">
        <v>1232000</v>
      </c>
      <c r="F241" s="25">
        <v>1360000</v>
      </c>
      <c r="G241" s="25">
        <v>1520000</v>
      </c>
      <c r="H241" s="25">
        <v>1680000</v>
      </c>
      <c r="I241" s="25">
        <v>1920000</v>
      </c>
      <c r="J241" s="25">
        <v>2160000</v>
      </c>
      <c r="K241" s="25">
        <v>2480000</v>
      </c>
      <c r="L241" s="25">
        <v>2120000</v>
      </c>
      <c r="M241" s="25">
        <v>1400000</v>
      </c>
      <c r="N241" s="25">
        <f t="shared" ref="N241:N249" si="20">SUM(B241:M241)</f>
        <v>19088000</v>
      </c>
    </row>
    <row r="242" spans="1:14">
      <c r="A242" s="47" t="s">
        <v>185</v>
      </c>
      <c r="B242" s="25">
        <v>700000</v>
      </c>
      <c r="C242" s="25">
        <v>700000</v>
      </c>
      <c r="D242" s="25">
        <v>700000</v>
      </c>
      <c r="E242" s="25">
        <v>700000</v>
      </c>
      <c r="F242" s="25">
        <v>700000</v>
      </c>
      <c r="G242" s="25">
        <v>700000</v>
      </c>
      <c r="H242" s="25">
        <v>700000</v>
      </c>
      <c r="I242" s="25">
        <v>700000</v>
      </c>
      <c r="J242" s="25">
        <v>700000</v>
      </c>
      <c r="K242" s="25">
        <v>700000</v>
      </c>
      <c r="L242" s="25">
        <v>700000</v>
      </c>
      <c r="M242" s="25">
        <v>700000</v>
      </c>
      <c r="N242" s="25">
        <f t="shared" si="20"/>
        <v>8400000</v>
      </c>
    </row>
    <row r="243" spans="1:14">
      <c r="A243" s="47" t="s">
        <v>186</v>
      </c>
      <c r="B243" s="25">
        <v>280000</v>
      </c>
      <c r="C243" s="25">
        <v>280000</v>
      </c>
      <c r="D243" s="25">
        <v>280000</v>
      </c>
      <c r="E243" s="25">
        <v>280000</v>
      </c>
      <c r="F243" s="25">
        <v>280000</v>
      </c>
      <c r="G243" s="25">
        <v>280000</v>
      </c>
      <c r="H243" s="25">
        <v>280000</v>
      </c>
      <c r="I243" s="25">
        <v>280000</v>
      </c>
      <c r="J243" s="25">
        <v>280000</v>
      </c>
      <c r="K243" s="25">
        <v>280000</v>
      </c>
      <c r="L243" s="25">
        <v>280000</v>
      </c>
      <c r="M243" s="25">
        <v>280000</v>
      </c>
      <c r="N243" s="25">
        <f t="shared" si="20"/>
        <v>3360000</v>
      </c>
    </row>
    <row r="244" spans="1:14">
      <c r="A244" s="47" t="s">
        <v>187</v>
      </c>
      <c r="B244" s="25">
        <v>250000</v>
      </c>
      <c r="C244" s="25">
        <v>250000</v>
      </c>
      <c r="D244" s="25">
        <v>250000</v>
      </c>
      <c r="E244" s="25">
        <v>250000</v>
      </c>
      <c r="F244" s="25">
        <v>250000</v>
      </c>
      <c r="G244" s="25">
        <v>250000</v>
      </c>
      <c r="H244" s="25">
        <v>250000</v>
      </c>
      <c r="I244" s="25">
        <v>250000</v>
      </c>
      <c r="J244" s="25">
        <v>250000</v>
      </c>
      <c r="K244" s="25">
        <v>250000</v>
      </c>
      <c r="L244" s="25">
        <v>250000</v>
      </c>
      <c r="M244" s="25">
        <v>250000</v>
      </c>
      <c r="N244" s="25">
        <f t="shared" si="20"/>
        <v>3000000</v>
      </c>
    </row>
    <row r="245" spans="1:14">
      <c r="A245" s="47" t="s">
        <v>188</v>
      </c>
      <c r="B245" s="25"/>
      <c r="C245" s="25"/>
      <c r="D245" s="25"/>
      <c r="E245" s="25">
        <v>100000</v>
      </c>
      <c r="F245" s="25"/>
      <c r="G245" s="25"/>
      <c r="H245" s="25"/>
      <c r="I245" s="25"/>
      <c r="J245" s="25">
        <v>100000</v>
      </c>
      <c r="K245" s="25"/>
      <c r="L245" s="25"/>
      <c r="M245" s="25"/>
      <c r="N245" s="25">
        <f t="shared" si="20"/>
        <v>200000</v>
      </c>
    </row>
    <row r="246" spans="1:14">
      <c r="A246" s="47" t="s">
        <v>189</v>
      </c>
      <c r="B246" s="25"/>
      <c r="C246" s="25"/>
      <c r="D246" s="25"/>
      <c r="E246" s="25">
        <v>750000</v>
      </c>
      <c r="F246" s="25"/>
      <c r="G246" s="25">
        <v>750000</v>
      </c>
      <c r="H246" s="25"/>
      <c r="I246" s="25"/>
      <c r="J246" s="25">
        <v>750000</v>
      </c>
      <c r="K246" s="25"/>
      <c r="L246" s="25"/>
      <c r="M246" s="25">
        <v>750000</v>
      </c>
      <c r="N246" s="25">
        <f t="shared" si="20"/>
        <v>3000000</v>
      </c>
    </row>
    <row r="247" spans="1:14">
      <c r="A247" s="47" t="s">
        <v>81</v>
      </c>
      <c r="B247" s="25"/>
      <c r="C247" s="25"/>
      <c r="D247" s="25">
        <v>150000</v>
      </c>
      <c r="E247" s="25"/>
      <c r="F247" s="25">
        <v>150000</v>
      </c>
      <c r="G247" s="25"/>
      <c r="H247" s="25"/>
      <c r="I247" s="25">
        <v>150000</v>
      </c>
      <c r="J247" s="25"/>
      <c r="K247" s="25"/>
      <c r="L247" s="25">
        <v>150000</v>
      </c>
      <c r="M247" s="25"/>
      <c r="N247" s="25">
        <f t="shared" si="20"/>
        <v>600000</v>
      </c>
    </row>
    <row r="248" spans="1:14">
      <c r="A248" s="47" t="s">
        <v>190</v>
      </c>
      <c r="B248" s="25"/>
      <c r="C248" s="25"/>
      <c r="D248" s="25"/>
      <c r="E248" s="25"/>
      <c r="F248" s="25"/>
      <c r="G248" s="25">
        <v>5000000</v>
      </c>
      <c r="H248" s="25"/>
      <c r="I248" s="25"/>
      <c r="J248" s="25"/>
      <c r="K248" s="25"/>
      <c r="L248" s="25"/>
      <c r="M248" s="25"/>
      <c r="N248" s="25">
        <v>5000000</v>
      </c>
    </row>
    <row r="249" spans="1:14">
      <c r="A249" s="47" t="s">
        <v>85</v>
      </c>
      <c r="B249" s="25">
        <f>SUM(B240:B248)</f>
        <v>2780400</v>
      </c>
      <c r="C249" s="25">
        <f t="shared" ref="C249:N249" si="21">SUM(C240:C248)</f>
        <v>2798000</v>
      </c>
      <c r="D249" s="25">
        <f t="shared" si="21"/>
        <v>3050400</v>
      </c>
      <c r="E249" s="25">
        <f t="shared" si="21"/>
        <v>3889600</v>
      </c>
      <c r="F249" s="25">
        <f t="shared" si="21"/>
        <v>3365600</v>
      </c>
      <c r="G249" s="25">
        <f t="shared" si="21"/>
        <v>9196000</v>
      </c>
      <c r="H249" s="25">
        <f t="shared" si="21"/>
        <v>3686000</v>
      </c>
      <c r="I249" s="25">
        <f t="shared" si="21"/>
        <v>4156000</v>
      </c>
      <c r="J249" s="25">
        <f t="shared" si="21"/>
        <v>5232000</v>
      </c>
      <c r="K249" s="25">
        <f t="shared" si="21"/>
        <v>4806000</v>
      </c>
      <c r="L249" s="25">
        <f t="shared" si="21"/>
        <v>4788000</v>
      </c>
      <c r="M249" s="25">
        <f t="shared" si="21"/>
        <v>4320000</v>
      </c>
      <c r="N249" s="25">
        <f t="shared" si="21"/>
        <v>52068000</v>
      </c>
    </row>
    <row r="250" spans="1:14">
      <c r="A250" s="47" t="s">
        <v>191</v>
      </c>
      <c r="B250" s="25">
        <f>B238-B249</f>
        <v>6090000</v>
      </c>
      <c r="C250" s="25">
        <f>C238-C249</f>
        <v>2986883.33333333</v>
      </c>
      <c r="D250" s="25">
        <f>D238-D249</f>
        <v>2162067.36111111</v>
      </c>
      <c r="E250" s="25">
        <f>E238-E249</f>
        <v>1295217.9224537</v>
      </c>
      <c r="F250" s="25">
        <f>F238-F249</f>
        <v>1952104.73847415</v>
      </c>
      <c r="G250" s="25">
        <f>G238-G249</f>
        <v>-3652054.38870523</v>
      </c>
      <c r="H250" s="25">
        <f t="shared" ref="H250:M250" si="22">H238-H249</f>
        <v>2085200</v>
      </c>
      <c r="I250" s="25">
        <f t="shared" si="22"/>
        <v>1998600</v>
      </c>
      <c r="J250" s="25">
        <f t="shared" si="22"/>
        <v>1322000</v>
      </c>
      <c r="K250" s="25">
        <f t="shared" si="22"/>
        <v>2147400</v>
      </c>
      <c r="L250" s="25">
        <f t="shared" si="22"/>
        <v>2924200</v>
      </c>
      <c r="M250" s="25">
        <f t="shared" si="22"/>
        <v>3834301.66666667</v>
      </c>
      <c r="N250" s="25">
        <f>SUM(B250:M250)</f>
        <v>25145920.6333337</v>
      </c>
    </row>
    <row r="251" spans="1:14">
      <c r="A251" s="47" t="s">
        <v>192</v>
      </c>
      <c r="B251" s="25">
        <f>B250-B253</f>
        <v>3490000</v>
      </c>
      <c r="C251" s="25">
        <f>C250-C253</f>
        <v>386883.333333334</v>
      </c>
      <c r="D251" s="25">
        <f>D250-D253</f>
        <v>-437932.638888889</v>
      </c>
      <c r="E251" s="25">
        <f>E250-E253</f>
        <v>-1304782.0775463</v>
      </c>
      <c r="F251" s="25">
        <f>F250-F253</f>
        <v>-647895.261525849</v>
      </c>
      <c r="G251" s="25">
        <v>-1486273</v>
      </c>
      <c r="H251" s="25">
        <v>0</v>
      </c>
      <c r="I251" s="25">
        <v>0</v>
      </c>
      <c r="J251" s="25">
        <v>0</v>
      </c>
      <c r="K251" s="25">
        <v>0</v>
      </c>
      <c r="L251" s="25">
        <f>L250-L253</f>
        <v>324200</v>
      </c>
      <c r="M251" s="25">
        <f>M250-M253</f>
        <v>1234301.66666667</v>
      </c>
      <c r="N251" s="25">
        <f>SUM(B251:M251)</f>
        <v>1558502.02203897</v>
      </c>
    </row>
    <row r="252" spans="1:14">
      <c r="A252" s="47" t="s">
        <v>88</v>
      </c>
      <c r="B252" s="25"/>
      <c r="C252" s="25"/>
      <c r="D252" s="25"/>
      <c r="E252" s="25"/>
      <c r="F252" s="25"/>
      <c r="G252" s="32">
        <f>G253+G251-G250</f>
        <v>4765781.38870523</v>
      </c>
      <c r="H252" s="25">
        <f>H253-H250</f>
        <v>514800</v>
      </c>
      <c r="I252" s="25">
        <f>I253-I250</f>
        <v>601400</v>
      </c>
      <c r="J252" s="25">
        <f>J253-J250</f>
        <v>1278000</v>
      </c>
      <c r="K252" s="25">
        <f>K253-K250</f>
        <v>452600</v>
      </c>
      <c r="L252" s="25"/>
      <c r="M252" s="25"/>
      <c r="N252" s="32">
        <f>SUM(B252:M252)</f>
        <v>7612581.38870523</v>
      </c>
    </row>
    <row r="253" spans="1:14">
      <c r="A253" s="47" t="s">
        <v>193</v>
      </c>
      <c r="B253" s="25">
        <v>2600000</v>
      </c>
      <c r="C253" s="25">
        <v>2600000</v>
      </c>
      <c r="D253" s="25">
        <v>2600000</v>
      </c>
      <c r="E253" s="25">
        <v>2600000</v>
      </c>
      <c r="F253" s="25">
        <v>2600000</v>
      </c>
      <c r="G253" s="25">
        <v>2600000</v>
      </c>
      <c r="H253" s="25">
        <v>2600000</v>
      </c>
      <c r="I253" s="25">
        <v>2600000</v>
      </c>
      <c r="J253" s="25">
        <v>2600000</v>
      </c>
      <c r="K253" s="25">
        <v>2600000</v>
      </c>
      <c r="L253" s="25">
        <v>2600000</v>
      </c>
      <c r="M253" s="25">
        <v>2600000</v>
      </c>
      <c r="N253" s="25">
        <f>M253</f>
        <v>2600000</v>
      </c>
    </row>
    <row r="255" spans="2:2">
      <c r="B255" t="s">
        <v>212</v>
      </c>
    </row>
    <row r="259" ht="18.75" spans="1:14">
      <c r="A259" s="29" t="s">
        <v>213</v>
      </c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</row>
    <row r="260" spans="1:14">
      <c r="A260" s="31" t="s">
        <v>1</v>
      </c>
      <c r="B260" s="31" t="s">
        <v>173</v>
      </c>
      <c r="C260" s="31" t="s">
        <v>110</v>
      </c>
      <c r="D260" s="31" t="s">
        <v>111</v>
      </c>
      <c r="E260" s="31" t="s">
        <v>112</v>
      </c>
      <c r="F260" s="31" t="s">
        <v>113</v>
      </c>
      <c r="G260" s="31" t="s">
        <v>114</v>
      </c>
      <c r="H260" s="31" t="s">
        <v>115</v>
      </c>
      <c r="I260" s="31" t="s">
        <v>174</v>
      </c>
      <c r="J260" s="31" t="s">
        <v>175</v>
      </c>
      <c r="K260" s="31" t="s">
        <v>176</v>
      </c>
      <c r="L260" s="31" t="s">
        <v>177</v>
      </c>
      <c r="M260" s="31" t="s">
        <v>178</v>
      </c>
      <c r="N260" s="31" t="s">
        <v>17</v>
      </c>
    </row>
    <row r="261" spans="1:14">
      <c r="A261" s="15" t="s">
        <v>179</v>
      </c>
      <c r="B261" s="25">
        <v>2600000</v>
      </c>
      <c r="C261" s="25">
        <f t="shared" ref="C261:M261" si="23">B280</f>
        <v>2600000</v>
      </c>
      <c r="D261" s="25">
        <f t="shared" si="23"/>
        <v>2600000</v>
      </c>
      <c r="E261" s="25">
        <f t="shared" si="23"/>
        <v>2600000</v>
      </c>
      <c r="F261" s="25">
        <f t="shared" si="23"/>
        <v>2600000</v>
      </c>
      <c r="G261" s="25">
        <f t="shared" si="23"/>
        <v>2600000</v>
      </c>
      <c r="H261" s="25">
        <f t="shared" si="23"/>
        <v>2600000</v>
      </c>
      <c r="I261" s="25">
        <f t="shared" si="23"/>
        <v>2600000</v>
      </c>
      <c r="J261" s="25">
        <f t="shared" si="23"/>
        <v>2600000</v>
      </c>
      <c r="K261" s="25">
        <f t="shared" si="23"/>
        <v>2600000</v>
      </c>
      <c r="L261" s="25">
        <f t="shared" si="23"/>
        <v>2600000</v>
      </c>
      <c r="M261" s="25">
        <f t="shared" si="23"/>
        <v>2600000</v>
      </c>
      <c r="N261" s="25">
        <f>B261</f>
        <v>2600000</v>
      </c>
    </row>
    <row r="262" spans="1:14">
      <c r="A262" s="15" t="s">
        <v>180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</row>
    <row r="263" spans="1:14">
      <c r="A263" s="15" t="s">
        <v>181</v>
      </c>
      <c r="B263" s="25"/>
      <c r="C263" s="25">
        <f>B278*0.1/12</f>
        <v>63058.3333333333</v>
      </c>
      <c r="D263" s="25">
        <f t="shared" ref="D263:G263" si="24">C263+C278*0.1/12</f>
        <v>99771.3194444445</v>
      </c>
      <c r="E263" s="25">
        <f t="shared" si="24"/>
        <v>111611.080439815</v>
      </c>
      <c r="F263" s="25">
        <f t="shared" si="24"/>
        <v>115238.394999035</v>
      </c>
      <c r="G263" s="25">
        <f t="shared" si="24"/>
        <v>124040.381624027</v>
      </c>
      <c r="H263" s="25">
        <f>G263+G278*0.1/12</f>
        <v>87003.218137561</v>
      </c>
      <c r="I263" s="25">
        <f>H263+H278*0.1/12</f>
        <v>98686.5782887074</v>
      </c>
      <c r="J263" s="25">
        <f>I263+I278*0.1/12</f>
        <v>110988.13310778</v>
      </c>
      <c r="K263" s="25">
        <f>J263+J278*0.1/12</f>
        <v>120149.145328123</v>
      </c>
      <c r="L263" s="25">
        <f>K263+K278*0.1/12</f>
        <v>137587.888205857</v>
      </c>
      <c r="M263" s="25">
        <f>L263+L278*0.1/12</f>
        <v>179088.620607572</v>
      </c>
      <c r="N263" s="25">
        <f>SUM(C263:M263)</f>
        <v>1247223.09351626</v>
      </c>
    </row>
    <row r="264" spans="1:14">
      <c r="A264" s="15" t="s">
        <v>182</v>
      </c>
      <c r="B264" s="25">
        <f>E5</f>
        <v>10735000</v>
      </c>
      <c r="C264" s="25">
        <f>E6</f>
        <v>7532500</v>
      </c>
      <c r="D264" s="25">
        <f>E7</f>
        <v>4789000</v>
      </c>
      <c r="E264" s="25">
        <f>E8</f>
        <v>4624000</v>
      </c>
      <c r="F264" s="25">
        <f>E9</f>
        <v>4803000</v>
      </c>
      <c r="G264" s="25">
        <f>E10</f>
        <v>5181500</v>
      </c>
      <c r="H264" s="25">
        <f>E11</f>
        <v>5615000</v>
      </c>
      <c r="I264" s="25">
        <f>E12</f>
        <v>6227500</v>
      </c>
      <c r="J264" s="25">
        <f>E13</f>
        <v>6950000</v>
      </c>
      <c r="K264" s="25">
        <f>E14</f>
        <v>7672500</v>
      </c>
      <c r="L264" s="25">
        <f>E15</f>
        <v>8842500</v>
      </c>
      <c r="M264" s="25">
        <f>E16</f>
        <v>9840000</v>
      </c>
      <c r="N264" s="25">
        <f t="shared" ref="N264:N275" si="25">SUM(B264:M264)</f>
        <v>82812500</v>
      </c>
    </row>
    <row r="265" spans="1:14">
      <c r="A265" s="15" t="s">
        <v>183</v>
      </c>
      <c r="B265" s="25">
        <f t="shared" ref="B265:N265" si="26">SUM(B261:B264)</f>
        <v>13335000</v>
      </c>
      <c r="C265" s="25">
        <f t="shared" si="26"/>
        <v>10195558.3333333</v>
      </c>
      <c r="D265" s="25">
        <f t="shared" si="26"/>
        <v>7488771.31944444</v>
      </c>
      <c r="E265" s="25">
        <f t="shared" si="26"/>
        <v>7335611.08043982</v>
      </c>
      <c r="F265" s="25">
        <f t="shared" si="26"/>
        <v>7518238.39499904</v>
      </c>
      <c r="G265" s="25">
        <f t="shared" si="26"/>
        <v>7905540.38162403</v>
      </c>
      <c r="H265" s="25">
        <f t="shared" si="26"/>
        <v>8302003.21813756</v>
      </c>
      <c r="I265" s="25">
        <f t="shared" si="26"/>
        <v>8926186.57828871</v>
      </c>
      <c r="J265" s="25">
        <f t="shared" si="26"/>
        <v>9660988.13310778</v>
      </c>
      <c r="K265" s="25">
        <f t="shared" si="26"/>
        <v>10392649.1453281</v>
      </c>
      <c r="L265" s="25">
        <f t="shared" si="26"/>
        <v>11580087.8882059</v>
      </c>
      <c r="M265" s="25">
        <f t="shared" si="26"/>
        <v>12619088.6206076</v>
      </c>
      <c r="N265" s="25">
        <f t="shared" si="26"/>
        <v>86659723.0935163</v>
      </c>
    </row>
    <row r="266" spans="1:14">
      <c r="A266" s="15" t="s">
        <v>184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>
        <f t="shared" si="25"/>
        <v>0</v>
      </c>
    </row>
    <row r="267" spans="1:14">
      <c r="A267" s="15" t="s">
        <v>54</v>
      </c>
      <c r="B267" s="25">
        <v>658000</v>
      </c>
      <c r="C267" s="25">
        <v>640000</v>
      </c>
      <c r="D267" s="25">
        <v>668000</v>
      </c>
      <c r="E267" s="25">
        <v>722000</v>
      </c>
      <c r="F267" s="25">
        <v>782000</v>
      </c>
      <c r="G267" s="25">
        <v>870000</v>
      </c>
      <c r="H267" s="25">
        <v>970000</v>
      </c>
      <c r="I267" s="25">
        <v>1070000</v>
      </c>
      <c r="J267" s="25">
        <v>1240000</v>
      </c>
      <c r="K267" s="25">
        <v>1370000</v>
      </c>
      <c r="L267" s="25">
        <v>160000</v>
      </c>
      <c r="M267" s="25">
        <v>1042000</v>
      </c>
      <c r="N267" s="25">
        <f t="shared" si="25"/>
        <v>10192000</v>
      </c>
    </row>
    <row r="268" spans="1:14">
      <c r="A268" s="15" t="s">
        <v>56</v>
      </c>
      <c r="B268" s="25">
        <v>1280000</v>
      </c>
      <c r="C268" s="25">
        <v>1320000</v>
      </c>
      <c r="D268" s="25">
        <v>1420000</v>
      </c>
      <c r="E268" s="25">
        <v>1540000</v>
      </c>
      <c r="F268" s="25">
        <v>1700000</v>
      </c>
      <c r="G268" s="25">
        <v>1900000</v>
      </c>
      <c r="H268" s="25">
        <v>2100000</v>
      </c>
      <c r="I268" s="25">
        <v>2400000</v>
      </c>
      <c r="J268" s="25">
        <v>2700000</v>
      </c>
      <c r="K268" s="25">
        <v>3100000</v>
      </c>
      <c r="L268" s="25">
        <v>2460000</v>
      </c>
      <c r="M268" s="25">
        <v>1400000</v>
      </c>
      <c r="N268" s="25">
        <f t="shared" si="25"/>
        <v>23320000</v>
      </c>
    </row>
    <row r="269" spans="1:14">
      <c r="A269" s="15" t="s">
        <v>185</v>
      </c>
      <c r="B269" s="25">
        <v>700000</v>
      </c>
      <c r="C269" s="25">
        <v>700000</v>
      </c>
      <c r="D269" s="25">
        <v>700000</v>
      </c>
      <c r="E269" s="25">
        <v>700000</v>
      </c>
      <c r="F269" s="25">
        <v>700000</v>
      </c>
      <c r="G269" s="25">
        <v>700000</v>
      </c>
      <c r="H269" s="25">
        <v>700000</v>
      </c>
      <c r="I269" s="25">
        <v>700000</v>
      </c>
      <c r="J269" s="25">
        <v>700000</v>
      </c>
      <c r="K269" s="25">
        <v>700000</v>
      </c>
      <c r="L269" s="25">
        <v>700000</v>
      </c>
      <c r="M269" s="25">
        <v>700000</v>
      </c>
      <c r="N269" s="25">
        <f t="shared" si="25"/>
        <v>8400000</v>
      </c>
    </row>
    <row r="270" spans="1:14">
      <c r="A270" s="15" t="s">
        <v>186</v>
      </c>
      <c r="B270" s="25">
        <v>280000</v>
      </c>
      <c r="C270" s="25">
        <v>280000</v>
      </c>
      <c r="D270" s="25">
        <v>280000</v>
      </c>
      <c r="E270" s="25">
        <v>280000</v>
      </c>
      <c r="F270" s="25">
        <v>280000</v>
      </c>
      <c r="G270" s="25">
        <v>280000</v>
      </c>
      <c r="H270" s="25">
        <v>280000</v>
      </c>
      <c r="I270" s="25">
        <v>280000</v>
      </c>
      <c r="J270" s="25">
        <v>280000</v>
      </c>
      <c r="K270" s="25">
        <v>280000</v>
      </c>
      <c r="L270" s="25">
        <v>280000</v>
      </c>
      <c r="M270" s="25">
        <v>280000</v>
      </c>
      <c r="N270" s="25">
        <f t="shared" si="25"/>
        <v>3360000</v>
      </c>
    </row>
    <row r="271" spans="1:14">
      <c r="A271" s="15" t="s">
        <v>187</v>
      </c>
      <c r="B271" s="25">
        <v>250000</v>
      </c>
      <c r="C271" s="25">
        <v>250000</v>
      </c>
      <c r="D271" s="25">
        <v>250000</v>
      </c>
      <c r="E271" s="25">
        <v>250000</v>
      </c>
      <c r="F271" s="25">
        <v>250000</v>
      </c>
      <c r="G271" s="25">
        <v>250000</v>
      </c>
      <c r="H271" s="25">
        <v>250000</v>
      </c>
      <c r="I271" s="25">
        <v>250000</v>
      </c>
      <c r="J271" s="25">
        <v>250000</v>
      </c>
      <c r="K271" s="25">
        <v>250000</v>
      </c>
      <c r="L271" s="25">
        <v>250000</v>
      </c>
      <c r="M271" s="25">
        <v>250000</v>
      </c>
      <c r="N271" s="25">
        <f t="shared" si="25"/>
        <v>3000000</v>
      </c>
    </row>
    <row r="272" spans="1:14">
      <c r="A272" s="15" t="s">
        <v>188</v>
      </c>
      <c r="B272" s="25"/>
      <c r="C272" s="25"/>
      <c r="D272" s="25"/>
      <c r="E272" s="25">
        <f>1000000*0.1/12*7</f>
        <v>58333.3333333333</v>
      </c>
      <c r="F272" s="25"/>
      <c r="G272" s="25"/>
      <c r="H272" s="25"/>
      <c r="I272" s="25"/>
      <c r="J272" s="25">
        <f>1000000*0.1/12*5</f>
        <v>41666.6666666667</v>
      </c>
      <c r="K272" s="25"/>
      <c r="L272" s="25"/>
      <c r="M272" s="25"/>
      <c r="N272" s="25">
        <f t="shared" si="25"/>
        <v>100000</v>
      </c>
    </row>
    <row r="273" spans="1:14">
      <c r="A273" s="15" t="s">
        <v>189</v>
      </c>
      <c r="B273" s="25"/>
      <c r="C273" s="25"/>
      <c r="D273" s="25"/>
      <c r="E273" s="25">
        <v>750000</v>
      </c>
      <c r="F273" s="25"/>
      <c r="G273" s="25">
        <v>750000</v>
      </c>
      <c r="H273" s="25"/>
      <c r="I273" s="25"/>
      <c r="J273" s="25">
        <v>750000</v>
      </c>
      <c r="K273" s="25"/>
      <c r="L273" s="25"/>
      <c r="M273" s="25">
        <v>750000</v>
      </c>
      <c r="N273" s="25">
        <f t="shared" si="25"/>
        <v>3000000</v>
      </c>
    </row>
    <row r="274" spans="1:14">
      <c r="A274" s="15" t="s">
        <v>81</v>
      </c>
      <c r="B274" s="25"/>
      <c r="C274" s="25"/>
      <c r="D274" s="25">
        <v>150000</v>
      </c>
      <c r="E274" s="25"/>
      <c r="F274" s="25">
        <v>150000</v>
      </c>
      <c r="G274" s="25"/>
      <c r="H274" s="25"/>
      <c r="I274" s="25">
        <v>150000</v>
      </c>
      <c r="J274" s="25"/>
      <c r="K274" s="25"/>
      <c r="L274" s="25">
        <v>150000</v>
      </c>
      <c r="M274" s="25"/>
      <c r="N274" s="25">
        <f t="shared" si="25"/>
        <v>600000</v>
      </c>
    </row>
    <row r="275" spans="1:14">
      <c r="A275" s="15" t="s">
        <v>190</v>
      </c>
      <c r="B275" s="25"/>
      <c r="C275" s="25"/>
      <c r="D275" s="25"/>
      <c r="E275" s="25"/>
      <c r="F275" s="25"/>
      <c r="G275" s="25">
        <v>5000000</v>
      </c>
      <c r="H275" s="25"/>
      <c r="I275" s="25"/>
      <c r="J275" s="25"/>
      <c r="K275" s="25"/>
      <c r="L275" s="25"/>
      <c r="M275" s="25"/>
      <c r="N275" s="25">
        <f t="shared" si="25"/>
        <v>5000000</v>
      </c>
    </row>
    <row r="276" spans="1:14">
      <c r="A276" s="15" t="s">
        <v>85</v>
      </c>
      <c r="B276" s="25">
        <f t="shared" ref="B276:N276" si="27">SUM(B267:B275)</f>
        <v>3168000</v>
      </c>
      <c r="C276" s="25">
        <f t="shared" si="27"/>
        <v>3190000</v>
      </c>
      <c r="D276" s="25">
        <f t="shared" si="27"/>
        <v>3468000</v>
      </c>
      <c r="E276" s="25">
        <f t="shared" si="27"/>
        <v>4300333.33333333</v>
      </c>
      <c r="F276" s="25">
        <f t="shared" si="27"/>
        <v>3862000</v>
      </c>
      <c r="G276" s="25">
        <f t="shared" si="27"/>
        <v>9750000</v>
      </c>
      <c r="H276" s="25">
        <f t="shared" si="27"/>
        <v>4300000</v>
      </c>
      <c r="I276" s="25">
        <f t="shared" si="27"/>
        <v>4850000</v>
      </c>
      <c r="J276" s="25">
        <f t="shared" si="27"/>
        <v>5961666.66666667</v>
      </c>
      <c r="K276" s="25">
        <f t="shared" si="27"/>
        <v>5700000</v>
      </c>
      <c r="L276" s="25">
        <f t="shared" si="27"/>
        <v>4000000</v>
      </c>
      <c r="M276" s="25">
        <f t="shared" si="27"/>
        <v>4422000</v>
      </c>
      <c r="N276" s="25">
        <f t="shared" si="27"/>
        <v>56972000</v>
      </c>
    </row>
    <row r="277" spans="1:14">
      <c r="A277" s="15" t="s">
        <v>191</v>
      </c>
      <c r="B277" s="25">
        <f t="shared" ref="B277:N277" si="28">B265-B276</f>
        <v>10167000</v>
      </c>
      <c r="C277" s="25">
        <f t="shared" si="28"/>
        <v>7005558.33333333</v>
      </c>
      <c r="D277" s="25">
        <f t="shared" si="28"/>
        <v>4020771.31944444</v>
      </c>
      <c r="E277" s="25">
        <f t="shared" si="28"/>
        <v>3035277.74710648</v>
      </c>
      <c r="F277" s="25">
        <f t="shared" si="28"/>
        <v>3656238.39499904</v>
      </c>
      <c r="G277" s="25">
        <f t="shared" si="28"/>
        <v>-1844459.61837597</v>
      </c>
      <c r="H277" s="25">
        <f t="shared" si="28"/>
        <v>4002003.21813756</v>
      </c>
      <c r="I277" s="25">
        <f t="shared" si="28"/>
        <v>4076186.57828871</v>
      </c>
      <c r="J277" s="25">
        <f t="shared" si="28"/>
        <v>3699321.46644111</v>
      </c>
      <c r="K277" s="25">
        <f t="shared" si="28"/>
        <v>4692649.14532812</v>
      </c>
      <c r="L277" s="25">
        <f t="shared" si="28"/>
        <v>7580087.88820586</v>
      </c>
      <c r="M277" s="25">
        <f t="shared" si="28"/>
        <v>8197088.62060757</v>
      </c>
      <c r="N277" s="25">
        <f t="shared" si="28"/>
        <v>29687723.0935163</v>
      </c>
    </row>
    <row r="278" spans="1:14">
      <c r="A278" s="15" t="s">
        <v>192</v>
      </c>
      <c r="B278" s="25">
        <f t="shared" ref="B278:G278" si="29">B277-B280</f>
        <v>7567000</v>
      </c>
      <c r="C278" s="25">
        <f t="shared" si="29"/>
        <v>4405558.33333333</v>
      </c>
      <c r="D278" s="25">
        <f t="shared" si="29"/>
        <v>1420771.31944444</v>
      </c>
      <c r="E278" s="25">
        <f t="shared" si="29"/>
        <v>435277.747106481</v>
      </c>
      <c r="F278" s="25">
        <f t="shared" si="29"/>
        <v>1056238.39499904</v>
      </c>
      <c r="G278" s="25">
        <f t="shared" si="29"/>
        <v>-4444459.61837597</v>
      </c>
      <c r="H278" s="25">
        <f>H277-H280</f>
        <v>1402003.21813756</v>
      </c>
      <c r="I278" s="25">
        <f>I277-I280</f>
        <v>1476186.57828871</v>
      </c>
      <c r="J278" s="25">
        <f>J277-J280</f>
        <v>1099321.46644111</v>
      </c>
      <c r="K278" s="25">
        <f>K277-K280</f>
        <v>2092649.14532812</v>
      </c>
      <c r="L278" s="25">
        <f>L277-L280</f>
        <v>4980087.88820586</v>
      </c>
      <c r="M278" s="25">
        <f>M277-M280</f>
        <v>5597088.62060757</v>
      </c>
      <c r="N278" s="25">
        <f>SUM(B278:M278)</f>
        <v>27087723.0935163</v>
      </c>
    </row>
    <row r="279" spans="1:14">
      <c r="A279" s="15" t="s">
        <v>88</v>
      </c>
      <c r="B279" s="25"/>
      <c r="C279" s="25"/>
      <c r="D279" s="25"/>
      <c r="E279" s="25"/>
      <c r="F279" s="25"/>
      <c r="G279" s="32">
        <f>G280-G277+G278</f>
        <v>0</v>
      </c>
      <c r="H279" s="25"/>
      <c r="I279" s="25"/>
      <c r="J279" s="25"/>
      <c r="K279" s="25"/>
      <c r="L279" s="25"/>
      <c r="M279" s="25"/>
      <c r="N279" s="25">
        <f>SUM(B279:M279)</f>
        <v>0</v>
      </c>
    </row>
    <row r="280" spans="1:14">
      <c r="A280" s="15" t="s">
        <v>193</v>
      </c>
      <c r="B280" s="25">
        <v>2600000</v>
      </c>
      <c r="C280" s="25">
        <v>2600000</v>
      </c>
      <c r="D280" s="25">
        <v>2600000</v>
      </c>
      <c r="E280" s="25">
        <v>2600000</v>
      </c>
      <c r="F280" s="25">
        <v>2600000</v>
      </c>
      <c r="G280" s="25">
        <v>2600000</v>
      </c>
      <c r="H280" s="25">
        <v>2600000</v>
      </c>
      <c r="I280" s="25">
        <v>2600000</v>
      </c>
      <c r="J280" s="25">
        <v>2600000</v>
      </c>
      <c r="K280" s="25">
        <v>2600000</v>
      </c>
      <c r="L280" s="25">
        <v>2600000</v>
      </c>
      <c r="M280" s="25">
        <v>2600000</v>
      </c>
      <c r="N280" s="25">
        <f>M280</f>
        <v>2600000</v>
      </c>
    </row>
    <row r="282" spans="2:2">
      <c r="B282" t="s">
        <v>214</v>
      </c>
    </row>
  </sheetData>
  <mergeCells count="14">
    <mergeCell ref="A1:D1"/>
    <mergeCell ref="A20:E20"/>
    <mergeCell ref="A60:N60"/>
    <mergeCell ref="B86:F86"/>
    <mergeCell ref="B105:G105"/>
    <mergeCell ref="B124:G124"/>
    <mergeCell ref="B146:M146"/>
    <mergeCell ref="B172:F172"/>
    <mergeCell ref="B192:G192"/>
    <mergeCell ref="B212:G212"/>
    <mergeCell ref="B232:N232"/>
    <mergeCell ref="A259:N259"/>
    <mergeCell ref="A146:A147"/>
    <mergeCell ref="A232:A233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9"/>
  <sheetViews>
    <sheetView topLeftCell="A61" workbookViewId="0">
      <selection activeCell="C110" sqref="C110"/>
    </sheetView>
  </sheetViews>
  <sheetFormatPr defaultColWidth="9" defaultRowHeight="13.5"/>
  <cols>
    <col min="1" max="1" width="19.5" customWidth="1"/>
    <col min="2" max="2" width="18.125"/>
    <col min="3" max="3" width="16.125" customWidth="1"/>
    <col min="4" max="4" width="14" customWidth="1"/>
    <col min="9" max="9" width="17.125" customWidth="1"/>
    <col min="10" max="10" width="16"/>
    <col min="12" max="12" width="16"/>
  </cols>
  <sheetData>
    <row r="1" spans="1:9">
      <c r="A1" s="13" t="s">
        <v>215</v>
      </c>
      <c r="B1" s="13"/>
      <c r="C1" s="13"/>
      <c r="D1" s="13"/>
      <c r="E1" s="13"/>
      <c r="F1" s="13"/>
      <c r="I1" t="s">
        <v>216</v>
      </c>
    </row>
    <row r="2" spans="1:14">
      <c r="A2" s="14" t="s">
        <v>1</v>
      </c>
      <c r="B2" s="14" t="s">
        <v>62</v>
      </c>
      <c r="C2" s="14" t="s">
        <v>63</v>
      </c>
      <c r="D2" s="14" t="s">
        <v>64</v>
      </c>
      <c r="E2" s="14" t="s">
        <v>65</v>
      </c>
      <c r="F2" s="14" t="s">
        <v>66</v>
      </c>
      <c r="I2" s="14" t="s">
        <v>1</v>
      </c>
      <c r="J2" s="14" t="s">
        <v>62</v>
      </c>
      <c r="K2" s="14" t="s">
        <v>63</v>
      </c>
      <c r="L2" s="14" t="s">
        <v>64</v>
      </c>
      <c r="M2" s="14" t="s">
        <v>65</v>
      </c>
      <c r="N2" s="14" t="s">
        <v>66</v>
      </c>
    </row>
    <row r="3" spans="1:14">
      <c r="A3" s="14" t="s">
        <v>217</v>
      </c>
      <c r="B3" s="14">
        <v>100</v>
      </c>
      <c r="C3" s="14">
        <v>150</v>
      </c>
      <c r="D3" s="14">
        <v>130</v>
      </c>
      <c r="E3" s="14">
        <v>120</v>
      </c>
      <c r="F3" s="14">
        <f>SUM(B3:E3)</f>
        <v>500</v>
      </c>
      <c r="I3" t="s">
        <v>218</v>
      </c>
      <c r="J3">
        <f t="shared" ref="J3:N3" si="0">B45</f>
        <v>21000</v>
      </c>
      <c r="K3">
        <f t="shared" si="0"/>
        <v>29600</v>
      </c>
      <c r="L3">
        <f t="shared" si="0"/>
        <v>25800</v>
      </c>
      <c r="M3">
        <f t="shared" si="0"/>
        <v>23800</v>
      </c>
      <c r="N3">
        <f t="shared" si="0"/>
        <v>100200</v>
      </c>
    </row>
    <row r="4" spans="1:14">
      <c r="A4" s="14" t="s">
        <v>118</v>
      </c>
      <c r="B4" s="14">
        <v>10000</v>
      </c>
      <c r="C4" s="14">
        <v>10000</v>
      </c>
      <c r="D4" s="14">
        <v>10000</v>
      </c>
      <c r="E4" s="14">
        <v>10000</v>
      </c>
      <c r="F4" s="14">
        <v>10000</v>
      </c>
      <c r="I4" s="14" t="s">
        <v>58</v>
      </c>
      <c r="J4" s="14"/>
      <c r="K4" s="14"/>
      <c r="L4" s="14"/>
      <c r="M4" s="14"/>
      <c r="N4" s="14"/>
    </row>
    <row r="5" spans="1:14">
      <c r="A5" s="14" t="s">
        <v>119</v>
      </c>
      <c r="B5" s="14">
        <f t="shared" ref="B5:F5" si="1">B3*B4</f>
        <v>1000000</v>
      </c>
      <c r="C5" s="14">
        <f t="shared" si="1"/>
        <v>1500000</v>
      </c>
      <c r="D5" s="14">
        <f t="shared" si="1"/>
        <v>1300000</v>
      </c>
      <c r="E5" s="14">
        <f t="shared" si="1"/>
        <v>1200000</v>
      </c>
      <c r="F5" s="14">
        <f t="shared" si="1"/>
        <v>5000000</v>
      </c>
      <c r="I5" s="14" t="s">
        <v>219</v>
      </c>
      <c r="J5" s="16">
        <f t="shared" ref="J5:M5" si="2">$N$5/$N$3*J3</f>
        <v>20958.0838323353</v>
      </c>
      <c r="K5" s="16">
        <f t="shared" si="2"/>
        <v>29540.9181636727</v>
      </c>
      <c r="L5" s="16">
        <f t="shared" si="2"/>
        <v>25748.502994012</v>
      </c>
      <c r="M5" s="16">
        <f t="shared" si="2"/>
        <v>23752.49500998</v>
      </c>
      <c r="N5" s="14">
        <v>100000</v>
      </c>
    </row>
    <row r="6" spans="9:14">
      <c r="I6" s="14" t="s">
        <v>220</v>
      </c>
      <c r="J6" s="16">
        <f t="shared" ref="J6:M6" si="3">$N$6/$N$3*J3</f>
        <v>10479.0419161677</v>
      </c>
      <c r="K6" s="16">
        <f t="shared" si="3"/>
        <v>14770.4590818363</v>
      </c>
      <c r="L6" s="16">
        <f t="shared" si="3"/>
        <v>12874.251497006</v>
      </c>
      <c r="M6" s="16">
        <f t="shared" si="3"/>
        <v>11876.24750499</v>
      </c>
      <c r="N6" s="14">
        <v>50000</v>
      </c>
    </row>
    <row r="7" spans="1:14">
      <c r="A7" t="s">
        <v>221</v>
      </c>
      <c r="I7" s="14" t="s">
        <v>222</v>
      </c>
      <c r="J7" s="16">
        <f t="shared" ref="J7:M7" si="4">$N$7/$N$3*J3</f>
        <v>8383.23353293413</v>
      </c>
      <c r="K7" s="16">
        <f t="shared" si="4"/>
        <v>11816.3672654691</v>
      </c>
      <c r="L7" s="16">
        <f t="shared" si="4"/>
        <v>10299.4011976048</v>
      </c>
      <c r="M7" s="16">
        <f t="shared" si="4"/>
        <v>9500.99800399202</v>
      </c>
      <c r="N7" s="14">
        <v>40000</v>
      </c>
    </row>
    <row r="8" spans="1:14">
      <c r="A8" s="14" t="s">
        <v>1</v>
      </c>
      <c r="B8" s="14" t="s">
        <v>62</v>
      </c>
      <c r="C8" s="14" t="s">
        <v>63</v>
      </c>
      <c r="D8" s="14" t="s">
        <v>64</v>
      </c>
      <c r="E8" s="14" t="s">
        <v>65</v>
      </c>
      <c r="F8" s="14" t="s">
        <v>66</v>
      </c>
      <c r="I8" s="14" t="s">
        <v>223</v>
      </c>
      <c r="J8" s="16">
        <f t="shared" ref="J8:M8" si="5">$N$8/$N$3*J3</f>
        <v>2095.80838323353</v>
      </c>
      <c r="K8" s="16">
        <f t="shared" si="5"/>
        <v>2954.09181636727</v>
      </c>
      <c r="L8" s="16">
        <f t="shared" si="5"/>
        <v>2574.8502994012</v>
      </c>
      <c r="M8" s="16">
        <f t="shared" si="5"/>
        <v>2375.249500998</v>
      </c>
      <c r="N8" s="14">
        <v>10000</v>
      </c>
    </row>
    <row r="9" spans="1:14">
      <c r="A9" s="14" t="s">
        <v>9</v>
      </c>
      <c r="B9" s="14">
        <f t="shared" ref="B9:F9" si="6">B5</f>
        <v>1000000</v>
      </c>
      <c r="C9" s="14">
        <f t="shared" si="6"/>
        <v>1500000</v>
      </c>
      <c r="D9" s="14">
        <f t="shared" si="6"/>
        <v>1300000</v>
      </c>
      <c r="E9" s="14">
        <f t="shared" si="6"/>
        <v>1200000</v>
      </c>
      <c r="F9" s="14">
        <f t="shared" si="6"/>
        <v>5000000</v>
      </c>
      <c r="I9" s="14" t="s">
        <v>224</v>
      </c>
      <c r="J9" s="16">
        <f t="shared" ref="J9:M9" si="7">$N$9/$N$3*J3</f>
        <v>83.8323353293413</v>
      </c>
      <c r="K9" s="16">
        <f t="shared" si="7"/>
        <v>118.163672654691</v>
      </c>
      <c r="L9" s="16">
        <f t="shared" si="7"/>
        <v>102.994011976048</v>
      </c>
      <c r="M9" s="16">
        <f t="shared" si="7"/>
        <v>95.0099800399202</v>
      </c>
      <c r="N9" s="14">
        <v>400</v>
      </c>
    </row>
    <row r="10" spans="1:14">
      <c r="A10" s="14" t="s">
        <v>121</v>
      </c>
      <c r="B10" s="14">
        <v>25000</v>
      </c>
      <c r="C10" s="14">
        <f>B12</f>
        <v>500000</v>
      </c>
      <c r="D10" s="14">
        <f>C12</f>
        <v>750000</v>
      </c>
      <c r="E10" s="14">
        <f>D12</f>
        <v>650000</v>
      </c>
      <c r="F10" s="14">
        <f>B10</f>
        <v>25000</v>
      </c>
      <c r="I10" s="14" t="s">
        <v>42</v>
      </c>
      <c r="J10" s="14">
        <f t="shared" ref="J10:N10" si="8">SUM(J5:J9)</f>
        <v>42000</v>
      </c>
      <c r="K10" s="14">
        <f t="shared" si="8"/>
        <v>59200</v>
      </c>
      <c r="L10" s="14">
        <f t="shared" si="8"/>
        <v>51600</v>
      </c>
      <c r="M10" s="14">
        <f t="shared" si="8"/>
        <v>47600</v>
      </c>
      <c r="N10" s="14">
        <f t="shared" si="8"/>
        <v>200400</v>
      </c>
    </row>
    <row r="11" spans="1:14">
      <c r="A11" s="14" t="s">
        <v>225</v>
      </c>
      <c r="B11" s="14">
        <f>B9*0.5</f>
        <v>500000</v>
      </c>
      <c r="C11" s="14">
        <f>C9*0.5</f>
        <v>750000</v>
      </c>
      <c r="D11" s="14">
        <f>D9*0.5</f>
        <v>650000</v>
      </c>
      <c r="E11" s="14">
        <f>E9*0.5</f>
        <v>600000</v>
      </c>
      <c r="F11" s="14">
        <f>F9</f>
        <v>5000000</v>
      </c>
      <c r="I11" s="14" t="s">
        <v>43</v>
      </c>
      <c r="J11" s="14"/>
      <c r="K11" s="14"/>
      <c r="L11" s="14"/>
      <c r="M11" s="14"/>
      <c r="N11" s="14"/>
    </row>
    <row r="12" spans="1:14">
      <c r="A12" s="14" t="s">
        <v>16</v>
      </c>
      <c r="B12" s="14">
        <f>B9-B11</f>
        <v>500000</v>
      </c>
      <c r="C12" s="14">
        <f>C9-C11</f>
        <v>750000</v>
      </c>
      <c r="D12" s="14">
        <f>D9-D11</f>
        <v>650000</v>
      </c>
      <c r="E12" s="14">
        <f>E9-E11</f>
        <v>600000</v>
      </c>
      <c r="F12" s="14">
        <f>E12</f>
        <v>600000</v>
      </c>
      <c r="I12" s="14" t="s">
        <v>223</v>
      </c>
      <c r="J12" s="14">
        <f t="shared" ref="J12:M12" si="9">$N$12/4</f>
        <v>5000</v>
      </c>
      <c r="K12" s="14">
        <f t="shared" si="9"/>
        <v>5000</v>
      </c>
      <c r="L12" s="14">
        <f t="shared" si="9"/>
        <v>5000</v>
      </c>
      <c r="M12" s="14">
        <f t="shared" si="9"/>
        <v>5000</v>
      </c>
      <c r="N12" s="14">
        <v>20000</v>
      </c>
    </row>
    <row r="13" spans="1:14">
      <c r="A13" s="14" t="s">
        <v>226</v>
      </c>
      <c r="B13" s="14">
        <f>B10+B11</f>
        <v>525000</v>
      </c>
      <c r="C13" s="14">
        <f>C10+C11</f>
        <v>1250000</v>
      </c>
      <c r="D13" s="14">
        <f>D10+D11</f>
        <v>1400000</v>
      </c>
      <c r="E13" s="14">
        <f>E10+E11</f>
        <v>1250000</v>
      </c>
      <c r="F13" s="14">
        <f>F10+F11-F12</f>
        <v>4425000</v>
      </c>
      <c r="G13">
        <f>SUM(B13:E13)</f>
        <v>4425000</v>
      </c>
      <c r="I13" s="14" t="s">
        <v>227</v>
      </c>
      <c r="J13" s="14">
        <f t="shared" ref="J13:M13" si="10">$N$13/4</f>
        <v>5000</v>
      </c>
      <c r="K13" s="14">
        <f t="shared" si="10"/>
        <v>5000</v>
      </c>
      <c r="L13" s="14">
        <f t="shared" si="10"/>
        <v>5000</v>
      </c>
      <c r="M13" s="14">
        <f t="shared" si="10"/>
        <v>5000</v>
      </c>
      <c r="N13" s="14">
        <v>20000</v>
      </c>
    </row>
    <row r="14" spans="9:14">
      <c r="I14" s="14" t="s">
        <v>185</v>
      </c>
      <c r="J14" s="14">
        <f t="shared" ref="J14:M14" si="11">$N$14/4</f>
        <v>15000</v>
      </c>
      <c r="K14" s="14">
        <f t="shared" si="11"/>
        <v>15000</v>
      </c>
      <c r="L14" s="14">
        <f t="shared" si="11"/>
        <v>15000</v>
      </c>
      <c r="M14" s="14">
        <f t="shared" si="11"/>
        <v>15000</v>
      </c>
      <c r="N14" s="14">
        <v>60000</v>
      </c>
    </row>
    <row r="15" spans="1:14">
      <c r="A15" s="13" t="s">
        <v>228</v>
      </c>
      <c r="B15" s="13"/>
      <c r="C15" s="13"/>
      <c r="D15" s="13"/>
      <c r="E15" s="13"/>
      <c r="F15" s="13"/>
      <c r="I15" s="14" t="s">
        <v>229</v>
      </c>
      <c r="J15" s="14">
        <f t="shared" ref="J15:N15" si="12">SUM(J12:J14)</f>
        <v>25000</v>
      </c>
      <c r="K15" s="14">
        <f t="shared" si="12"/>
        <v>25000</v>
      </c>
      <c r="L15" s="14">
        <f t="shared" si="12"/>
        <v>25000</v>
      </c>
      <c r="M15" s="14">
        <f t="shared" si="12"/>
        <v>25000</v>
      </c>
      <c r="N15" s="14">
        <f t="shared" si="12"/>
        <v>100000</v>
      </c>
    </row>
    <row r="16" spans="1:14">
      <c r="A16" s="14" t="s">
        <v>1</v>
      </c>
      <c r="B16" s="14" t="s">
        <v>62</v>
      </c>
      <c r="C16" s="14" t="s">
        <v>63</v>
      </c>
      <c r="D16" s="14" t="s">
        <v>64</v>
      </c>
      <c r="E16" s="14" t="s">
        <v>65</v>
      </c>
      <c r="F16" s="14" t="s">
        <v>66</v>
      </c>
      <c r="I16" s="14" t="s">
        <v>44</v>
      </c>
      <c r="J16" s="14">
        <f t="shared" ref="J16:N16" si="13">J10+J15</f>
        <v>67000</v>
      </c>
      <c r="K16" s="14">
        <f t="shared" si="13"/>
        <v>84200</v>
      </c>
      <c r="L16" s="14">
        <f t="shared" si="13"/>
        <v>76600</v>
      </c>
      <c r="M16" s="14">
        <f t="shared" si="13"/>
        <v>72600</v>
      </c>
      <c r="N16" s="14">
        <f t="shared" si="13"/>
        <v>300400</v>
      </c>
    </row>
    <row r="17" spans="1:14">
      <c r="A17" s="14" t="s">
        <v>230</v>
      </c>
      <c r="B17" s="15">
        <f t="shared" ref="B17:F17" si="14">B3</f>
        <v>100</v>
      </c>
      <c r="C17" s="15">
        <f t="shared" si="14"/>
        <v>150</v>
      </c>
      <c r="D17" s="15">
        <f t="shared" si="14"/>
        <v>130</v>
      </c>
      <c r="E17" s="15">
        <f t="shared" si="14"/>
        <v>120</v>
      </c>
      <c r="F17" s="15">
        <f t="shared" si="14"/>
        <v>500</v>
      </c>
      <c r="I17" s="14" t="s">
        <v>231</v>
      </c>
      <c r="J17" s="14">
        <f t="shared" ref="J17:N17" si="15">J16-J13</f>
        <v>62000</v>
      </c>
      <c r="K17" s="14">
        <f t="shared" si="15"/>
        <v>79200</v>
      </c>
      <c r="L17" s="14">
        <f t="shared" si="15"/>
        <v>71600</v>
      </c>
      <c r="M17" s="14">
        <f t="shared" si="15"/>
        <v>67600</v>
      </c>
      <c r="N17" s="14">
        <f t="shared" si="15"/>
        <v>280400</v>
      </c>
    </row>
    <row r="18" spans="1:6">
      <c r="A18" s="15" t="s">
        <v>53</v>
      </c>
      <c r="B18" s="15">
        <f>C17*0.1</f>
        <v>15</v>
      </c>
      <c r="C18" s="15">
        <f>D17*0.1</f>
        <v>13</v>
      </c>
      <c r="D18" s="15">
        <f>E17*0.1</f>
        <v>12</v>
      </c>
      <c r="E18" s="15">
        <v>11</v>
      </c>
      <c r="F18" s="15">
        <f>E18</f>
        <v>11</v>
      </c>
    </row>
    <row r="19" spans="1:9">
      <c r="A19" s="15" t="s">
        <v>232</v>
      </c>
      <c r="B19" s="15">
        <v>10</v>
      </c>
      <c r="C19" s="15">
        <f>B18</f>
        <v>15</v>
      </c>
      <c r="D19" s="15">
        <f>C18</f>
        <v>13</v>
      </c>
      <c r="E19" s="15">
        <f>D18</f>
        <v>12</v>
      </c>
      <c r="F19" s="15">
        <f>B19</f>
        <v>10</v>
      </c>
      <c r="I19" t="s">
        <v>233</v>
      </c>
    </row>
    <row r="20" spans="1:10">
      <c r="A20" s="15" t="s">
        <v>234</v>
      </c>
      <c r="B20" s="15">
        <f t="shared" ref="B20:F20" si="16">B17+B18-B19</f>
        <v>105</v>
      </c>
      <c r="C20" s="15">
        <f t="shared" si="16"/>
        <v>148</v>
      </c>
      <c r="D20" s="15">
        <f t="shared" si="16"/>
        <v>129</v>
      </c>
      <c r="E20" s="15">
        <f t="shared" si="16"/>
        <v>119</v>
      </c>
      <c r="F20" s="15">
        <f t="shared" si="16"/>
        <v>501</v>
      </c>
      <c r="I20" s="14" t="s">
        <v>1</v>
      </c>
      <c r="J20" s="14" t="s">
        <v>61</v>
      </c>
    </row>
    <row r="21" spans="9:10">
      <c r="I21" s="14" t="s">
        <v>54</v>
      </c>
      <c r="J21" s="14">
        <f>2*1000</f>
        <v>2000</v>
      </c>
    </row>
    <row r="22" spans="1:10">
      <c r="A22" s="13" t="s">
        <v>235</v>
      </c>
      <c r="B22" s="13"/>
      <c r="C22" s="13"/>
      <c r="D22" s="13"/>
      <c r="E22" s="13"/>
      <c r="F22" s="13"/>
      <c r="I22" s="14" t="s">
        <v>56</v>
      </c>
      <c r="J22" s="14">
        <f>10*200</f>
        <v>2000</v>
      </c>
    </row>
    <row r="23" spans="1:10">
      <c r="A23" s="14" t="s">
        <v>1</v>
      </c>
      <c r="B23" s="14" t="s">
        <v>62</v>
      </c>
      <c r="C23" s="14" t="s">
        <v>63</v>
      </c>
      <c r="D23" s="14" t="s">
        <v>64</v>
      </c>
      <c r="E23" s="14" t="s">
        <v>65</v>
      </c>
      <c r="F23" s="14" t="s">
        <v>66</v>
      </c>
      <c r="I23" s="14" t="s">
        <v>58</v>
      </c>
      <c r="J23" s="14">
        <f>N10/N3*200</f>
        <v>400</v>
      </c>
    </row>
    <row r="24" spans="1:10">
      <c r="A24" s="14" t="str">
        <f t="shared" ref="A24:F24" si="17">A20</f>
        <v>本期生产量/件</v>
      </c>
      <c r="B24" s="14">
        <f t="shared" si="17"/>
        <v>105</v>
      </c>
      <c r="C24" s="14">
        <f t="shared" si="17"/>
        <v>148</v>
      </c>
      <c r="D24" s="14">
        <f t="shared" si="17"/>
        <v>129</v>
      </c>
      <c r="E24" s="14">
        <f t="shared" si="17"/>
        <v>119</v>
      </c>
      <c r="F24" s="14">
        <f t="shared" si="17"/>
        <v>501</v>
      </c>
      <c r="I24" s="14" t="s">
        <v>43</v>
      </c>
      <c r="J24" s="16">
        <f>N15/F20</f>
        <v>199.600798403194</v>
      </c>
    </row>
    <row r="25" spans="1:10">
      <c r="A25" s="14" t="s">
        <v>236</v>
      </c>
      <c r="B25" s="14">
        <v>2</v>
      </c>
      <c r="C25" s="14">
        <v>2</v>
      </c>
      <c r="D25" s="14">
        <v>2</v>
      </c>
      <c r="E25" s="14">
        <v>2</v>
      </c>
      <c r="F25" s="14">
        <v>2</v>
      </c>
      <c r="I25" s="14" t="s">
        <v>17</v>
      </c>
      <c r="J25" s="16">
        <f>SUM(J21:J24)</f>
        <v>4599.60079840319</v>
      </c>
    </row>
    <row r="26" spans="1:6">
      <c r="A26" s="14" t="s">
        <v>237</v>
      </c>
      <c r="B26" s="14">
        <f t="shared" ref="B26:F26" si="18">B24*B25</f>
        <v>210</v>
      </c>
      <c r="C26" s="14">
        <f t="shared" si="18"/>
        <v>296</v>
      </c>
      <c r="D26" s="14">
        <f t="shared" si="18"/>
        <v>258</v>
      </c>
      <c r="E26" s="14">
        <f t="shared" si="18"/>
        <v>238</v>
      </c>
      <c r="F26" s="14">
        <f t="shared" si="18"/>
        <v>1002</v>
      </c>
    </row>
    <row r="27" spans="1:6">
      <c r="A27" s="14" t="s">
        <v>238</v>
      </c>
      <c r="B27" s="14">
        <f>C26*0.2</f>
        <v>59.2</v>
      </c>
      <c r="C27" s="14">
        <f>D26*0.2</f>
        <v>51.6</v>
      </c>
      <c r="D27" s="14">
        <f>E26*0.2</f>
        <v>47.6</v>
      </c>
      <c r="E27" s="14">
        <v>50</v>
      </c>
      <c r="F27" s="14">
        <f>E27</f>
        <v>50</v>
      </c>
    </row>
    <row r="28" spans="1:9">
      <c r="A28" s="14" t="s">
        <v>239</v>
      </c>
      <c r="B28" s="14">
        <v>40</v>
      </c>
      <c r="C28" s="14">
        <f>B27</f>
        <v>59.2</v>
      </c>
      <c r="D28" s="14">
        <f>C27</f>
        <v>51.6</v>
      </c>
      <c r="E28" s="14">
        <f>D27</f>
        <v>47.6</v>
      </c>
      <c r="F28" s="14">
        <f>B28</f>
        <v>40</v>
      </c>
      <c r="I28" t="s">
        <v>240</v>
      </c>
    </row>
    <row r="29" spans="1:10">
      <c r="A29" s="14" t="s">
        <v>241</v>
      </c>
      <c r="B29" s="14">
        <f t="shared" ref="B29:F29" si="19">B26+B27-B28</f>
        <v>229.2</v>
      </c>
      <c r="C29" s="14">
        <f t="shared" si="19"/>
        <v>288.4</v>
      </c>
      <c r="D29" s="14">
        <f t="shared" si="19"/>
        <v>254</v>
      </c>
      <c r="E29" s="14">
        <f t="shared" si="19"/>
        <v>240.4</v>
      </c>
      <c r="F29" s="14">
        <f t="shared" si="19"/>
        <v>1012</v>
      </c>
      <c r="I29" s="17" t="s">
        <v>1</v>
      </c>
      <c r="J29" s="17" t="s">
        <v>61</v>
      </c>
    </row>
    <row r="30" spans="1:10">
      <c r="A30" s="14" t="s">
        <v>118</v>
      </c>
      <c r="B30" s="14">
        <v>1000</v>
      </c>
      <c r="C30" s="14">
        <v>1000</v>
      </c>
      <c r="D30" s="14">
        <v>1000</v>
      </c>
      <c r="E30" s="14">
        <v>1000</v>
      </c>
      <c r="F30" s="14">
        <v>1000</v>
      </c>
      <c r="I30" s="14" t="s">
        <v>242</v>
      </c>
      <c r="J30" s="14">
        <v>44000</v>
      </c>
    </row>
    <row r="31" spans="1:10">
      <c r="A31" s="14" t="s">
        <v>243</v>
      </c>
      <c r="B31" s="14">
        <f t="shared" ref="B31:F31" si="20">B29*B30</f>
        <v>229200</v>
      </c>
      <c r="C31" s="14">
        <f t="shared" si="20"/>
        <v>288400</v>
      </c>
      <c r="D31" s="14">
        <f t="shared" si="20"/>
        <v>254000</v>
      </c>
      <c r="E31" s="14">
        <f t="shared" si="20"/>
        <v>240400</v>
      </c>
      <c r="F31" s="14">
        <f t="shared" si="20"/>
        <v>1012000</v>
      </c>
      <c r="I31" s="14" t="s">
        <v>244</v>
      </c>
      <c r="J31" s="16">
        <f>F26*F30+F47+N16</f>
        <v>2304400</v>
      </c>
    </row>
    <row r="32" spans="9:10">
      <c r="I32" s="14" t="s">
        <v>55</v>
      </c>
      <c r="J32" s="16">
        <f>J25*11</f>
        <v>50595.6087824351</v>
      </c>
    </row>
    <row r="33" spans="1:10">
      <c r="A33" s="13" t="s">
        <v>245</v>
      </c>
      <c r="B33" s="13"/>
      <c r="C33" s="13"/>
      <c r="D33" s="13"/>
      <c r="E33" s="13"/>
      <c r="F33" s="13"/>
      <c r="I33" s="14" t="s">
        <v>246</v>
      </c>
      <c r="J33" s="16">
        <f>J30+J31-J32</f>
        <v>2297804.39121756</v>
      </c>
    </row>
    <row r="34" spans="1:6">
      <c r="A34" s="14" t="s">
        <v>1</v>
      </c>
      <c r="B34" s="14" t="s">
        <v>62</v>
      </c>
      <c r="C34" s="14" t="s">
        <v>63</v>
      </c>
      <c r="D34" s="14" t="s">
        <v>64</v>
      </c>
      <c r="E34" s="14" t="s">
        <v>65</v>
      </c>
      <c r="F34" s="14" t="s">
        <v>66</v>
      </c>
    </row>
    <row r="35" spans="1:9">
      <c r="A35" s="14" t="str">
        <f t="shared" ref="A35:F35" si="21">A31</f>
        <v>材料采购成本</v>
      </c>
      <c r="B35" s="14">
        <f t="shared" si="21"/>
        <v>229200</v>
      </c>
      <c r="C35" s="14">
        <f t="shared" si="21"/>
        <v>288400</v>
      </c>
      <c r="D35" s="14">
        <f t="shared" si="21"/>
        <v>254000</v>
      </c>
      <c r="E35" s="14">
        <f t="shared" si="21"/>
        <v>240400</v>
      </c>
      <c r="F35" s="14">
        <f t="shared" si="21"/>
        <v>1012000</v>
      </c>
      <c r="I35" t="s">
        <v>247</v>
      </c>
    </row>
    <row r="36" spans="1:15">
      <c r="A36" s="14" t="s">
        <v>131</v>
      </c>
      <c r="B36" s="14">
        <v>7000</v>
      </c>
      <c r="C36" s="14">
        <f>B38</f>
        <v>91680</v>
      </c>
      <c r="D36" s="14">
        <f>C38</f>
        <v>115360</v>
      </c>
      <c r="E36" s="14">
        <f>D38</f>
        <v>101600</v>
      </c>
      <c r="F36" s="14">
        <f>B36</f>
        <v>7000</v>
      </c>
      <c r="I36" s="14" t="s">
        <v>1</v>
      </c>
      <c r="J36" s="14" t="s">
        <v>62</v>
      </c>
      <c r="K36" s="14" t="s">
        <v>63</v>
      </c>
      <c r="L36" s="14" t="s">
        <v>64</v>
      </c>
      <c r="M36" s="14" t="s">
        <v>65</v>
      </c>
      <c r="N36" s="14" t="s">
        <v>66</v>
      </c>
      <c r="O36" s="14" t="s">
        <v>48</v>
      </c>
    </row>
    <row r="37" spans="1:15">
      <c r="A37" s="14" t="s">
        <v>248</v>
      </c>
      <c r="B37" s="14">
        <f>B35*0.6</f>
        <v>137520</v>
      </c>
      <c r="C37" s="14">
        <f>C35*0.6</f>
        <v>173040</v>
      </c>
      <c r="D37" s="14">
        <f>D35*0.6</f>
        <v>152400</v>
      </c>
      <c r="E37" s="14">
        <f>E35*0.6</f>
        <v>144240</v>
      </c>
      <c r="F37" s="14">
        <f>F35</f>
        <v>1012000</v>
      </c>
      <c r="I37" s="14" t="s">
        <v>249</v>
      </c>
      <c r="J37" s="14">
        <f>$O$37*B17</f>
        <v>60000</v>
      </c>
      <c r="K37" s="14">
        <f>$O$37*C17</f>
        <v>90000</v>
      </c>
      <c r="L37" s="14">
        <f>$O$37*D17</f>
        <v>78000</v>
      </c>
      <c r="M37" s="14">
        <f>$O$37*E17</f>
        <v>72000</v>
      </c>
      <c r="N37" s="14">
        <v>300000</v>
      </c>
      <c r="O37" s="14">
        <f>N37/F17</f>
        <v>600</v>
      </c>
    </row>
    <row r="38" spans="1:15">
      <c r="A38" s="14" t="s">
        <v>39</v>
      </c>
      <c r="B38" s="14">
        <f>B35-B37</f>
        <v>91680</v>
      </c>
      <c r="C38" s="14">
        <f>C35-C37</f>
        <v>115360</v>
      </c>
      <c r="D38" s="14">
        <f>D35-D37</f>
        <v>101600</v>
      </c>
      <c r="E38" s="14">
        <f>E35-E37</f>
        <v>96160</v>
      </c>
      <c r="F38" s="14">
        <f>E38</f>
        <v>96160</v>
      </c>
      <c r="I38" s="14" t="s">
        <v>250</v>
      </c>
      <c r="J38" s="14">
        <f t="shared" ref="J38:M38" si="22">$O$38</f>
        <v>50000</v>
      </c>
      <c r="K38" s="14">
        <f t="shared" si="22"/>
        <v>50000</v>
      </c>
      <c r="L38" s="14">
        <f t="shared" si="22"/>
        <v>50000</v>
      </c>
      <c r="M38" s="14">
        <f t="shared" si="22"/>
        <v>50000</v>
      </c>
      <c r="N38" s="14">
        <v>200000</v>
      </c>
      <c r="O38" s="14">
        <f>N38/4</f>
        <v>50000</v>
      </c>
    </row>
    <row r="39" spans="1:15">
      <c r="A39" s="14" t="s">
        <v>251</v>
      </c>
      <c r="B39" s="14">
        <f>B36+B37</f>
        <v>144520</v>
      </c>
      <c r="C39" s="14">
        <f>C36+C37</f>
        <v>264720</v>
      </c>
      <c r="D39" s="14">
        <f>D36+D37</f>
        <v>267760</v>
      </c>
      <c r="E39" s="14">
        <f>E36+E37</f>
        <v>245840</v>
      </c>
      <c r="F39" s="14">
        <f>SUM(B39:E39)</f>
        <v>922840</v>
      </c>
      <c r="G39">
        <f>F36+F37-F38</f>
        <v>922840</v>
      </c>
      <c r="I39" s="14" t="s">
        <v>17</v>
      </c>
      <c r="J39" s="14">
        <f t="shared" ref="J39:N39" si="23">SUM(J37:J38)</f>
        <v>110000</v>
      </c>
      <c r="K39" s="14">
        <f t="shared" si="23"/>
        <v>140000</v>
      </c>
      <c r="L39" s="14">
        <f t="shared" si="23"/>
        <v>128000</v>
      </c>
      <c r="M39" s="14">
        <f t="shared" si="23"/>
        <v>122000</v>
      </c>
      <c r="N39" s="14">
        <f t="shared" si="23"/>
        <v>500000</v>
      </c>
      <c r="O39" s="14"/>
    </row>
    <row r="41" spans="1:6">
      <c r="A41" s="13" t="s">
        <v>252</v>
      </c>
      <c r="B41" s="13"/>
      <c r="C41" s="13"/>
      <c r="D41" s="13"/>
      <c r="E41" s="13"/>
      <c r="F41" s="13"/>
    </row>
    <row r="42" spans="1:6">
      <c r="A42" s="14" t="str">
        <f t="shared" ref="A42:F42" si="24">A23</f>
        <v>项目</v>
      </c>
      <c r="B42" s="14" t="str">
        <f t="shared" si="24"/>
        <v>1季度</v>
      </c>
      <c r="C42" s="14" t="str">
        <f t="shared" si="24"/>
        <v>2季度</v>
      </c>
      <c r="D42" s="14" t="str">
        <f t="shared" si="24"/>
        <v>3季度</v>
      </c>
      <c r="E42" s="14" t="str">
        <f t="shared" si="24"/>
        <v>4季度</v>
      </c>
      <c r="F42" s="14" t="str">
        <f t="shared" si="24"/>
        <v>全年</v>
      </c>
    </row>
    <row r="43" spans="1:6">
      <c r="A43" s="14" t="str">
        <f t="shared" ref="A43:F43" si="25">A24</f>
        <v>本期生产量/件</v>
      </c>
      <c r="B43" s="14">
        <f t="shared" si="25"/>
        <v>105</v>
      </c>
      <c r="C43" s="14">
        <f t="shared" si="25"/>
        <v>148</v>
      </c>
      <c r="D43" s="14">
        <f t="shared" si="25"/>
        <v>129</v>
      </c>
      <c r="E43" s="14">
        <f t="shared" si="25"/>
        <v>119</v>
      </c>
      <c r="F43" s="14">
        <f t="shared" si="25"/>
        <v>501</v>
      </c>
    </row>
    <row r="44" spans="1:6">
      <c r="A44" s="14" t="s">
        <v>253</v>
      </c>
      <c r="B44" s="14">
        <v>200</v>
      </c>
      <c r="C44" s="14">
        <v>200</v>
      </c>
      <c r="D44" s="14">
        <v>200</v>
      </c>
      <c r="E44" s="14">
        <v>200</v>
      </c>
      <c r="F44" s="14">
        <v>200</v>
      </c>
    </row>
    <row r="45" spans="1:6">
      <c r="A45" s="14" t="s">
        <v>254</v>
      </c>
      <c r="B45" s="14">
        <f t="shared" ref="B45:F45" si="26">B43*B44</f>
        <v>21000</v>
      </c>
      <c r="C45" s="14">
        <f t="shared" si="26"/>
        <v>29600</v>
      </c>
      <c r="D45" s="14">
        <f t="shared" si="26"/>
        <v>25800</v>
      </c>
      <c r="E45" s="14">
        <f t="shared" si="26"/>
        <v>23800</v>
      </c>
      <c r="F45" s="14">
        <f t="shared" si="26"/>
        <v>100200</v>
      </c>
    </row>
    <row r="46" spans="1:6">
      <c r="A46" s="14" t="s">
        <v>255</v>
      </c>
      <c r="B46" s="14">
        <v>10</v>
      </c>
      <c r="C46" s="14">
        <v>10</v>
      </c>
      <c r="D46" s="14">
        <v>10</v>
      </c>
      <c r="E46" s="14">
        <v>10</v>
      </c>
      <c r="F46" s="14">
        <v>10</v>
      </c>
    </row>
    <row r="47" spans="1:6">
      <c r="A47" s="14" t="s">
        <v>27</v>
      </c>
      <c r="B47" s="14">
        <f t="shared" ref="B47:F47" si="27">B45*B46</f>
        <v>210000</v>
      </c>
      <c r="C47" s="14">
        <f t="shared" si="27"/>
        <v>296000</v>
      </c>
      <c r="D47" s="14">
        <f t="shared" si="27"/>
        <v>258000</v>
      </c>
      <c r="E47" s="14">
        <f t="shared" si="27"/>
        <v>238000</v>
      </c>
      <c r="F47" s="14">
        <f t="shared" si="27"/>
        <v>1002000</v>
      </c>
    </row>
    <row r="49" spans="1:6">
      <c r="A49" s="13" t="s">
        <v>60</v>
      </c>
      <c r="B49" s="13"/>
      <c r="C49" s="13"/>
      <c r="D49" s="13"/>
      <c r="E49" s="13"/>
      <c r="F49" s="13"/>
    </row>
    <row r="50" spans="1:6">
      <c r="A50" s="14" t="str">
        <f t="shared" ref="A50:F50" si="28">A42</f>
        <v>项目</v>
      </c>
      <c r="B50" s="14" t="str">
        <f t="shared" si="28"/>
        <v>1季度</v>
      </c>
      <c r="C50" s="14" t="str">
        <f t="shared" si="28"/>
        <v>2季度</v>
      </c>
      <c r="D50" s="14" t="str">
        <f t="shared" si="28"/>
        <v>3季度</v>
      </c>
      <c r="E50" s="14" t="str">
        <f t="shared" si="28"/>
        <v>4季度</v>
      </c>
      <c r="F50" s="14" t="str">
        <f t="shared" si="28"/>
        <v>全年</v>
      </c>
    </row>
    <row r="51" spans="1:6">
      <c r="A51" s="14" t="s">
        <v>67</v>
      </c>
      <c r="B51" s="14">
        <v>50000</v>
      </c>
      <c r="C51" s="14">
        <f>B68</f>
        <v>55030</v>
      </c>
      <c r="D51" s="14">
        <f>C68</f>
        <v>121660</v>
      </c>
      <c r="E51" s="14">
        <f>D68</f>
        <v>646300</v>
      </c>
      <c r="F51" s="14">
        <f>B51</f>
        <v>50000</v>
      </c>
    </row>
    <row r="52" spans="1:6">
      <c r="A52" s="14" t="s">
        <v>69</v>
      </c>
      <c r="B52" s="14">
        <f t="shared" ref="B52:F52" si="29">B13</f>
        <v>525000</v>
      </c>
      <c r="C52" s="14">
        <f t="shared" si="29"/>
        <v>1250000</v>
      </c>
      <c r="D52" s="14">
        <f t="shared" si="29"/>
        <v>1400000</v>
      </c>
      <c r="E52" s="14">
        <f t="shared" si="29"/>
        <v>1250000</v>
      </c>
      <c r="F52" s="14">
        <f t="shared" si="29"/>
        <v>4425000</v>
      </c>
    </row>
    <row r="53" spans="1:6">
      <c r="A53" s="14" t="s">
        <v>71</v>
      </c>
      <c r="B53" s="14">
        <f t="shared" ref="B53:F53" si="30">SUM(B51:B52)</f>
        <v>575000</v>
      </c>
      <c r="C53" s="14">
        <f t="shared" si="30"/>
        <v>1305030</v>
      </c>
      <c r="D53" s="14">
        <f t="shared" si="30"/>
        <v>1521660</v>
      </c>
      <c r="E53" s="14">
        <f t="shared" si="30"/>
        <v>1896300</v>
      </c>
      <c r="F53" s="14">
        <f t="shared" si="30"/>
        <v>4475000</v>
      </c>
    </row>
    <row r="54" spans="1:6">
      <c r="A54" s="14" t="s">
        <v>73</v>
      </c>
      <c r="B54" s="14"/>
      <c r="C54" s="14"/>
      <c r="D54" s="14"/>
      <c r="E54" s="14"/>
      <c r="F54" s="14"/>
    </row>
    <row r="55" spans="1:6">
      <c r="A55" s="14" t="s">
        <v>75</v>
      </c>
      <c r="B55" s="14">
        <f t="shared" ref="B55:F55" si="31">B39</f>
        <v>144520</v>
      </c>
      <c r="C55" s="14">
        <f t="shared" si="31"/>
        <v>264720</v>
      </c>
      <c r="D55" s="14">
        <f t="shared" si="31"/>
        <v>267760</v>
      </c>
      <c r="E55" s="14">
        <f t="shared" si="31"/>
        <v>245840</v>
      </c>
      <c r="F55" s="14">
        <f t="shared" si="31"/>
        <v>922840</v>
      </c>
    </row>
    <row r="56" spans="1:6">
      <c r="A56" s="14" t="s">
        <v>56</v>
      </c>
      <c r="B56" s="14">
        <f t="shared" ref="B56:F56" si="32">B47</f>
        <v>210000</v>
      </c>
      <c r="C56" s="14">
        <f t="shared" si="32"/>
        <v>296000</v>
      </c>
      <c r="D56" s="14">
        <f t="shared" si="32"/>
        <v>258000</v>
      </c>
      <c r="E56" s="14">
        <f t="shared" si="32"/>
        <v>238000</v>
      </c>
      <c r="F56" s="14">
        <f t="shared" si="32"/>
        <v>1002000</v>
      </c>
    </row>
    <row r="57" spans="1:6">
      <c r="A57" s="14" t="s">
        <v>78</v>
      </c>
      <c r="B57" s="14">
        <f t="shared" ref="B57:F57" si="33">J17</f>
        <v>62000</v>
      </c>
      <c r="C57" s="14">
        <f t="shared" si="33"/>
        <v>79200</v>
      </c>
      <c r="D57" s="14">
        <f t="shared" si="33"/>
        <v>71600</v>
      </c>
      <c r="E57" s="14">
        <f t="shared" si="33"/>
        <v>67600</v>
      </c>
      <c r="F57" s="14">
        <f t="shared" si="33"/>
        <v>280400</v>
      </c>
    </row>
    <row r="58" spans="1:6">
      <c r="A58" s="14" t="s">
        <v>72</v>
      </c>
      <c r="B58" s="14">
        <f t="shared" ref="B58:F58" si="34">J39</f>
        <v>110000</v>
      </c>
      <c r="C58" s="14">
        <f t="shared" si="34"/>
        <v>140000</v>
      </c>
      <c r="D58" s="14">
        <f t="shared" si="34"/>
        <v>128000</v>
      </c>
      <c r="E58" s="14">
        <f t="shared" si="34"/>
        <v>122000</v>
      </c>
      <c r="F58" s="14">
        <f t="shared" si="34"/>
        <v>500000</v>
      </c>
    </row>
    <row r="59" spans="1:6">
      <c r="A59" s="14" t="s">
        <v>81</v>
      </c>
      <c r="B59" s="14">
        <v>20000</v>
      </c>
      <c r="C59" s="14">
        <v>20000</v>
      </c>
      <c r="D59" s="14">
        <v>20000</v>
      </c>
      <c r="E59" s="14">
        <v>20000</v>
      </c>
      <c r="F59" s="14">
        <f t="shared" ref="F59:F61" si="35">SUM(B59:E59)</f>
        <v>80000</v>
      </c>
    </row>
    <row r="60" spans="1:6">
      <c r="A60" s="14" t="s">
        <v>83</v>
      </c>
      <c r="B60" s="14">
        <v>100000</v>
      </c>
      <c r="C60" s="14">
        <v>50000</v>
      </c>
      <c r="D60" s="14">
        <v>30000</v>
      </c>
      <c r="E60" s="14"/>
      <c r="F60" s="14">
        <f t="shared" si="35"/>
        <v>180000</v>
      </c>
    </row>
    <row r="61" spans="1:6">
      <c r="A61" s="14" t="s">
        <v>84</v>
      </c>
      <c r="B61" s="14">
        <v>100000</v>
      </c>
      <c r="C61" s="14">
        <v>100000</v>
      </c>
      <c r="D61" s="14">
        <v>100000</v>
      </c>
      <c r="E61" s="14">
        <v>100000</v>
      </c>
      <c r="F61" s="14">
        <f t="shared" si="35"/>
        <v>400000</v>
      </c>
    </row>
    <row r="62" spans="1:6">
      <c r="A62" s="14" t="s">
        <v>85</v>
      </c>
      <c r="B62" s="14">
        <f t="shared" ref="B62:F62" si="36">SUM(B55:B61)</f>
        <v>746520</v>
      </c>
      <c r="C62" s="14">
        <f t="shared" si="36"/>
        <v>949920</v>
      </c>
      <c r="D62" s="14">
        <f t="shared" si="36"/>
        <v>875360</v>
      </c>
      <c r="E62" s="14">
        <f t="shared" si="36"/>
        <v>793440</v>
      </c>
      <c r="F62" s="14">
        <f t="shared" si="36"/>
        <v>3365240</v>
      </c>
    </row>
    <row r="63" spans="1:6">
      <c r="A63" s="14" t="s">
        <v>86</v>
      </c>
      <c r="B63" s="14">
        <f t="shared" ref="B63:F63" si="37">B53-B62</f>
        <v>-171520</v>
      </c>
      <c r="C63" s="14">
        <f t="shared" si="37"/>
        <v>355110</v>
      </c>
      <c r="D63" s="14">
        <f t="shared" si="37"/>
        <v>646300</v>
      </c>
      <c r="E63" s="14">
        <f t="shared" si="37"/>
        <v>1102860</v>
      </c>
      <c r="F63" s="14">
        <f t="shared" si="37"/>
        <v>1109760</v>
      </c>
    </row>
    <row r="64" spans="1:6">
      <c r="A64" s="14" t="s">
        <v>87</v>
      </c>
      <c r="B64" s="14">
        <v>50000</v>
      </c>
      <c r="C64" s="14">
        <v>50000</v>
      </c>
      <c r="D64" s="14">
        <v>50000</v>
      </c>
      <c r="E64" s="14">
        <v>50000</v>
      </c>
      <c r="F64" s="14"/>
    </row>
    <row r="65" spans="1:6">
      <c r="A65" s="14" t="s">
        <v>88</v>
      </c>
      <c r="B65" s="14">
        <v>230000</v>
      </c>
      <c r="C65" s="14"/>
      <c r="D65" s="14"/>
      <c r="E65" s="14"/>
      <c r="F65" s="14">
        <f t="shared" ref="F65:F67" si="38">SUM(B65:E65)</f>
        <v>230000</v>
      </c>
    </row>
    <row r="66" spans="1:6">
      <c r="A66" s="14" t="s">
        <v>89</v>
      </c>
      <c r="B66" s="14">
        <v>0</v>
      </c>
      <c r="C66" s="14">
        <v>230000</v>
      </c>
      <c r="D66" s="14"/>
      <c r="E66" s="14"/>
      <c r="F66" s="14">
        <f t="shared" si="38"/>
        <v>230000</v>
      </c>
    </row>
    <row r="67" spans="1:6">
      <c r="A67" s="14" t="s">
        <v>90</v>
      </c>
      <c r="B67" s="14">
        <f>B65*6%/4</f>
        <v>3450</v>
      </c>
      <c r="C67" s="14">
        <f>C66*6%/4</f>
        <v>3450</v>
      </c>
      <c r="D67" s="14"/>
      <c r="E67" s="14"/>
      <c r="F67" s="14">
        <f t="shared" si="38"/>
        <v>6900</v>
      </c>
    </row>
    <row r="68" spans="1:6">
      <c r="A68" s="14" t="s">
        <v>91</v>
      </c>
      <c r="B68" s="14">
        <f>B65+B63-B67</f>
        <v>55030</v>
      </c>
      <c r="C68" s="14">
        <f>C63-C66-C67</f>
        <v>121660</v>
      </c>
      <c r="D68" s="14">
        <f>D63</f>
        <v>646300</v>
      </c>
      <c r="E68" s="14">
        <f>E63</f>
        <v>1102860</v>
      </c>
      <c r="F68" s="14">
        <f>E68</f>
        <v>1102860</v>
      </c>
    </row>
    <row r="70" spans="1:2">
      <c r="A70" s="14" t="s">
        <v>256</v>
      </c>
      <c r="B70" s="14"/>
    </row>
    <row r="71" spans="1:2">
      <c r="A71" s="14" t="s">
        <v>1</v>
      </c>
      <c r="B71" s="14" t="s">
        <v>61</v>
      </c>
    </row>
    <row r="72" spans="1:2">
      <c r="A72" s="14" t="s">
        <v>9</v>
      </c>
      <c r="B72" s="14">
        <f>F5</f>
        <v>5000000</v>
      </c>
    </row>
    <row r="73" spans="1:2">
      <c r="A73" s="14" t="s">
        <v>68</v>
      </c>
      <c r="B73" s="16">
        <f>J33</f>
        <v>2297804.39121756</v>
      </c>
    </row>
    <row r="74" spans="1:2">
      <c r="A74" s="14" t="s">
        <v>70</v>
      </c>
      <c r="B74" s="16">
        <f>B72-B73</f>
        <v>2702195.60878244</v>
      </c>
    </row>
    <row r="75" spans="1:2">
      <c r="A75" s="14" t="s">
        <v>72</v>
      </c>
      <c r="B75" s="14">
        <f>N39</f>
        <v>500000</v>
      </c>
    </row>
    <row r="76" spans="1:2">
      <c r="A76" s="14" t="s">
        <v>74</v>
      </c>
      <c r="B76" s="14">
        <f>F67</f>
        <v>6900</v>
      </c>
    </row>
    <row r="77" spans="1:2">
      <c r="A77" s="14" t="s">
        <v>76</v>
      </c>
      <c r="B77" s="16">
        <f>B74-B75-B76</f>
        <v>2195295.60878244</v>
      </c>
    </row>
    <row r="78" spans="1:2">
      <c r="A78" s="14" t="s">
        <v>152</v>
      </c>
      <c r="B78" s="16">
        <f>F61</f>
        <v>400000</v>
      </c>
    </row>
    <row r="79" spans="1:2">
      <c r="A79" s="14" t="s">
        <v>79</v>
      </c>
      <c r="B79" s="16">
        <f>B77-B78</f>
        <v>1795295.60878244</v>
      </c>
    </row>
    <row r="80" spans="1:2">
      <c r="A80" s="14" t="s">
        <v>80</v>
      </c>
      <c r="B80" s="14">
        <f>F59</f>
        <v>80000</v>
      </c>
    </row>
    <row r="81" spans="1:2">
      <c r="A81" s="14" t="s">
        <v>82</v>
      </c>
      <c r="B81" s="16">
        <f>B79-B80</f>
        <v>1715295.60878244</v>
      </c>
    </row>
    <row r="83" spans="1:4">
      <c r="A83" s="13" t="s">
        <v>257</v>
      </c>
      <c r="B83" s="13"/>
      <c r="C83" s="13"/>
      <c r="D83" s="13"/>
    </row>
    <row r="84" spans="1:4">
      <c r="A84" s="18">
        <v>45291</v>
      </c>
      <c r="B84" s="18"/>
      <c r="C84" s="18"/>
      <c r="D84" s="18"/>
    </row>
    <row r="85" spans="1:4">
      <c r="A85" s="17" t="s">
        <v>1</v>
      </c>
      <c r="B85" s="17" t="s">
        <v>61</v>
      </c>
      <c r="C85" s="17" t="s">
        <v>1</v>
      </c>
      <c r="D85" s="17" t="s">
        <v>61</v>
      </c>
    </row>
    <row r="86" spans="1:4">
      <c r="A86" s="14" t="s">
        <v>93</v>
      </c>
      <c r="B86" s="14"/>
      <c r="C86" s="14" t="s">
        <v>94</v>
      </c>
      <c r="D86" s="14"/>
    </row>
    <row r="87" spans="1:4">
      <c r="A87" s="14" t="s">
        <v>95</v>
      </c>
      <c r="B87" s="14"/>
      <c r="C87" s="14" t="s">
        <v>96</v>
      </c>
      <c r="D87" s="14"/>
    </row>
    <row r="88" spans="1:4">
      <c r="A88" s="14" t="s">
        <v>97</v>
      </c>
      <c r="B88" s="19">
        <f>F68</f>
        <v>1102860</v>
      </c>
      <c r="C88" s="14" t="s">
        <v>98</v>
      </c>
      <c r="D88" s="20">
        <f>F38</f>
        <v>96160</v>
      </c>
    </row>
    <row r="89" spans="1:4">
      <c r="A89" s="14" t="s">
        <v>99</v>
      </c>
      <c r="B89" s="19">
        <f>F12</f>
        <v>600000</v>
      </c>
      <c r="C89" s="14"/>
      <c r="D89" s="20"/>
    </row>
    <row r="90" spans="1:4">
      <c r="A90" s="14" t="s">
        <v>101</v>
      </c>
      <c r="B90" s="19">
        <f>F27*F30</f>
        <v>50000</v>
      </c>
      <c r="C90" s="14"/>
      <c r="D90" s="20"/>
    </row>
    <row r="91" spans="1:4">
      <c r="A91" s="14" t="s">
        <v>102</v>
      </c>
      <c r="B91" s="19">
        <f>J32</f>
        <v>50595.6087824351</v>
      </c>
      <c r="C91" s="14"/>
      <c r="D91" s="20"/>
    </row>
    <row r="92" spans="1:4">
      <c r="A92" s="14" t="s">
        <v>17</v>
      </c>
      <c r="B92" s="19">
        <f>SUM(B88:B91)</f>
        <v>1803455.60878244</v>
      </c>
      <c r="C92" s="14" t="s">
        <v>17</v>
      </c>
      <c r="D92" s="20">
        <f>SUM(D88:D91)</f>
        <v>96160</v>
      </c>
    </row>
    <row r="93" spans="1:4">
      <c r="A93" s="14" t="s">
        <v>103</v>
      </c>
      <c r="B93" s="19"/>
      <c r="C93" s="14"/>
      <c r="D93" s="20"/>
    </row>
    <row r="94" spans="1:4">
      <c r="A94" s="14" t="s">
        <v>258</v>
      </c>
      <c r="B94" s="19">
        <v>26000</v>
      </c>
      <c r="C94" s="14" t="s">
        <v>105</v>
      </c>
      <c r="D94" s="20">
        <v>150000</v>
      </c>
    </row>
    <row r="95" spans="1:4">
      <c r="A95" s="14" t="s">
        <v>104</v>
      </c>
      <c r="B95" s="19">
        <f>24000+F60</f>
        <v>204000</v>
      </c>
      <c r="C95" s="14" t="s">
        <v>82</v>
      </c>
      <c r="D95" s="20">
        <f>B81+30000</f>
        <v>1745295.60878244</v>
      </c>
    </row>
    <row r="96" spans="1:4">
      <c r="A96" s="14" t="s">
        <v>106</v>
      </c>
      <c r="B96" s="19">
        <f>22000+N13</f>
        <v>42000</v>
      </c>
      <c r="C96" s="14"/>
      <c r="D96" s="20"/>
    </row>
    <row r="97" spans="1:4">
      <c r="A97" s="14" t="s">
        <v>17</v>
      </c>
      <c r="B97" s="19">
        <f>B94+B95-B96</f>
        <v>188000</v>
      </c>
      <c r="C97" s="14" t="s">
        <v>17</v>
      </c>
      <c r="D97" s="20">
        <f>SUM(D94:D96)</f>
        <v>1895295.60878244</v>
      </c>
    </row>
    <row r="98" spans="1:4">
      <c r="A98" s="14" t="s">
        <v>107</v>
      </c>
      <c r="B98" s="19">
        <f>B97+B92</f>
        <v>1991455.60878244</v>
      </c>
      <c r="C98" s="14" t="s">
        <v>108</v>
      </c>
      <c r="D98" s="20">
        <f>D92+D97</f>
        <v>1991455.60878244</v>
      </c>
    </row>
    <row r="99" spans="5:5">
      <c r="E99">
        <f>D98-B98</f>
        <v>0</v>
      </c>
    </row>
  </sheetData>
  <mergeCells count="8">
    <mergeCell ref="A1:F1"/>
    <mergeCell ref="A15:F15"/>
    <mergeCell ref="A22:F22"/>
    <mergeCell ref="A33:F33"/>
    <mergeCell ref="A41:F41"/>
    <mergeCell ref="A49:F49"/>
    <mergeCell ref="A83:D83"/>
    <mergeCell ref="A84:D84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opLeftCell="A19" workbookViewId="0">
      <selection activeCell="C57" sqref="C57"/>
    </sheetView>
  </sheetViews>
  <sheetFormatPr defaultColWidth="9" defaultRowHeight="13.5" outlineLevelCol="5"/>
  <cols>
    <col min="1" max="1" width="20.875" customWidth="1"/>
    <col min="2" max="2" width="16.875" customWidth="1"/>
    <col min="3" max="3" width="16" customWidth="1"/>
    <col min="4" max="5" width="16.875" customWidth="1"/>
    <col min="6" max="6" width="18.25"/>
  </cols>
  <sheetData>
    <row r="1" spans="1:6">
      <c r="A1" s="1" t="s">
        <v>259</v>
      </c>
      <c r="B1" s="1"/>
      <c r="C1" s="1"/>
      <c r="D1" s="1"/>
      <c r="E1" s="1"/>
      <c r="F1" s="1"/>
    </row>
    <row r="2" spans="1:6">
      <c r="A2" s="2" t="s">
        <v>260</v>
      </c>
      <c r="B2" s="2"/>
      <c r="C2" s="2"/>
      <c r="D2" s="2"/>
      <c r="E2" s="2"/>
      <c r="F2" s="2"/>
    </row>
    <row r="3" spans="1:6">
      <c r="A3" s="2" t="s">
        <v>261</v>
      </c>
      <c r="B3" s="2"/>
      <c r="C3" s="2"/>
      <c r="D3" s="2"/>
      <c r="E3" s="2"/>
      <c r="F3" s="2"/>
    </row>
    <row r="4" spans="1:6">
      <c r="A4" s="2" t="s">
        <v>262</v>
      </c>
      <c r="B4" s="3"/>
      <c r="C4" s="3"/>
      <c r="D4" s="3"/>
      <c r="E4" s="3"/>
      <c r="F4" s="3"/>
    </row>
    <row r="5" spans="1:6">
      <c r="A5" s="2" t="s">
        <v>263</v>
      </c>
      <c r="B5" s="3"/>
      <c r="C5" s="3"/>
      <c r="D5" s="3"/>
      <c r="E5" s="3"/>
      <c r="F5" s="3"/>
    </row>
    <row r="6" spans="1:6">
      <c r="A6" s="4" t="s">
        <v>262</v>
      </c>
      <c r="B6" s="4"/>
      <c r="C6" s="4"/>
      <c r="D6" s="4"/>
      <c r="E6" s="4"/>
      <c r="F6" s="4"/>
    </row>
    <row r="7" spans="1:6">
      <c r="A7" s="5" t="s">
        <v>264</v>
      </c>
      <c r="B7" s="5"/>
      <c r="C7" s="5"/>
      <c r="D7" s="5"/>
      <c r="E7" s="5"/>
      <c r="F7" s="5"/>
    </row>
    <row r="8" spans="1:6">
      <c r="A8" s="2" t="s">
        <v>265</v>
      </c>
      <c r="B8" s="2"/>
      <c r="C8" s="2"/>
      <c r="D8" s="2"/>
      <c r="E8" s="2"/>
      <c r="F8" s="2"/>
    </row>
    <row r="9" spans="1:6">
      <c r="A9" s="2" t="s">
        <v>266</v>
      </c>
      <c r="B9" s="6"/>
      <c r="C9" s="6"/>
      <c r="D9" s="6"/>
      <c r="E9" s="6"/>
      <c r="F9" s="6"/>
    </row>
    <row r="10" spans="1:6">
      <c r="A10" s="2" t="s">
        <v>267</v>
      </c>
      <c r="B10" s="6"/>
      <c r="C10" s="6"/>
      <c r="D10" s="6"/>
      <c r="E10" s="6"/>
      <c r="F10" s="6"/>
    </row>
    <row r="11" spans="1:6">
      <c r="A11" s="2" t="s">
        <v>268</v>
      </c>
      <c r="B11" s="6"/>
      <c r="C11" s="6"/>
      <c r="D11" s="6"/>
      <c r="E11" s="6"/>
      <c r="F11" s="6"/>
    </row>
    <row r="12" spans="1:6">
      <c r="A12" s="2" t="s">
        <v>269</v>
      </c>
      <c r="B12" s="6"/>
      <c r="C12" s="6"/>
      <c r="D12" s="6"/>
      <c r="E12" s="6"/>
      <c r="F12" s="6"/>
    </row>
    <row r="13" spans="1:6">
      <c r="A13" s="2" t="s">
        <v>270</v>
      </c>
      <c r="B13" s="6"/>
      <c r="C13" s="6"/>
      <c r="D13" s="6"/>
      <c r="E13" s="6"/>
      <c r="F13" s="6"/>
    </row>
    <row r="14" spans="1:6">
      <c r="A14" s="2" t="s">
        <v>271</v>
      </c>
      <c r="B14" s="6"/>
      <c r="C14" s="6"/>
      <c r="D14" s="6"/>
      <c r="E14" s="6"/>
      <c r="F14" s="6"/>
    </row>
    <row r="15" spans="1:6">
      <c r="A15" s="2" t="s">
        <v>272</v>
      </c>
      <c r="B15" s="6"/>
      <c r="C15" s="6"/>
      <c r="D15" s="6"/>
      <c r="E15" s="6"/>
      <c r="F15" s="6"/>
    </row>
    <row r="16" spans="1:6">
      <c r="A16" s="2" t="s">
        <v>262</v>
      </c>
      <c r="B16" s="6"/>
      <c r="C16" s="6"/>
      <c r="D16" s="6"/>
      <c r="E16" s="6"/>
      <c r="F16" s="6"/>
    </row>
    <row r="17" spans="1:6">
      <c r="A17" s="4" t="s">
        <v>273</v>
      </c>
      <c r="B17" s="4"/>
      <c r="C17" s="4"/>
      <c r="D17" s="4"/>
      <c r="E17" s="4"/>
      <c r="F17" s="4"/>
    </row>
    <row r="18" spans="1:6">
      <c r="A18" s="5"/>
      <c r="B18" s="5"/>
      <c r="C18" s="5"/>
      <c r="D18" s="5"/>
      <c r="E18" s="5"/>
      <c r="F18" s="5"/>
    </row>
    <row r="19" spans="1:6">
      <c r="A19" s="2" t="s">
        <v>274</v>
      </c>
      <c r="B19" s="2"/>
      <c r="C19" s="2"/>
      <c r="D19" s="2"/>
      <c r="E19" s="2"/>
      <c r="F19" s="2"/>
    </row>
    <row r="20" spans="1:6">
      <c r="A20" s="2" t="s">
        <v>275</v>
      </c>
      <c r="B20" s="2"/>
      <c r="C20" s="2"/>
      <c r="D20" s="2"/>
      <c r="E20" s="2"/>
      <c r="F20" s="2"/>
    </row>
    <row r="21" spans="1:6">
      <c r="A21" s="2" t="s">
        <v>276</v>
      </c>
      <c r="B21" s="2"/>
      <c r="C21" s="2"/>
      <c r="D21" s="2"/>
      <c r="E21" s="2"/>
      <c r="F21" s="2"/>
    </row>
    <row r="22" spans="1:6">
      <c r="A22" s="2" t="s">
        <v>277</v>
      </c>
      <c r="B22" s="2"/>
      <c r="C22" s="2"/>
      <c r="D22" s="2"/>
      <c r="E22" s="2"/>
      <c r="F22" s="2"/>
    </row>
    <row r="23" spans="1:6">
      <c r="A23" s="2" t="s">
        <v>278</v>
      </c>
      <c r="B23" s="2"/>
      <c r="C23" s="2"/>
      <c r="D23" s="2"/>
      <c r="E23" s="2"/>
      <c r="F23" s="2"/>
    </row>
    <row r="24" spans="1:6">
      <c r="A24" s="2" t="s">
        <v>279</v>
      </c>
      <c r="B24" s="2"/>
      <c r="C24" s="2"/>
      <c r="D24" s="2"/>
      <c r="E24" s="2"/>
      <c r="F24" s="2"/>
    </row>
    <row r="25" spans="1:6">
      <c r="A25" s="4" t="s">
        <v>267</v>
      </c>
      <c r="B25" s="4"/>
      <c r="C25" s="4"/>
      <c r="D25" s="4"/>
      <c r="E25" s="4"/>
      <c r="F25" s="4"/>
    </row>
    <row r="26" spans="1:6">
      <c r="A26" s="5" t="s">
        <v>280</v>
      </c>
      <c r="B26" s="5"/>
      <c r="C26" s="5"/>
      <c r="D26" s="5"/>
      <c r="E26" s="5"/>
      <c r="F26" s="5"/>
    </row>
    <row r="27" spans="1:6">
      <c r="A27" s="2" t="s">
        <v>267</v>
      </c>
      <c r="B27" s="2"/>
      <c r="C27" s="2"/>
      <c r="D27" s="2"/>
      <c r="E27" s="2"/>
      <c r="F27" s="2"/>
    </row>
    <row r="28" spans="1:6">
      <c r="A28" s="2" t="s">
        <v>281</v>
      </c>
      <c r="B28" s="2"/>
      <c r="C28" s="2"/>
      <c r="D28" s="2"/>
      <c r="E28" s="2"/>
      <c r="F28" s="2"/>
    </row>
    <row r="29" spans="1:6">
      <c r="A29" s="2" t="s">
        <v>267</v>
      </c>
      <c r="B29" s="2"/>
      <c r="C29" s="2"/>
      <c r="D29" s="2"/>
      <c r="E29" s="2"/>
      <c r="F29" s="2"/>
    </row>
    <row r="30" spans="1:6">
      <c r="A30" s="2" t="s">
        <v>282</v>
      </c>
      <c r="B30" s="2"/>
      <c r="C30" s="2"/>
      <c r="D30" s="2"/>
      <c r="E30" s="2"/>
      <c r="F30" s="2"/>
    </row>
    <row r="31" spans="1:6">
      <c r="A31" s="2" t="s">
        <v>283</v>
      </c>
      <c r="B31" s="2"/>
      <c r="C31" s="2"/>
      <c r="D31" s="2"/>
      <c r="E31" s="2"/>
      <c r="F31" s="2"/>
    </row>
    <row r="32" spans="1:6">
      <c r="A32" s="2" t="s">
        <v>284</v>
      </c>
      <c r="B32" s="2"/>
      <c r="C32" s="2"/>
      <c r="D32" s="2"/>
      <c r="E32" s="2"/>
      <c r="F32" s="2"/>
    </row>
    <row r="33" spans="1:6">
      <c r="A33" s="4"/>
      <c r="B33" s="4"/>
      <c r="C33" s="4"/>
      <c r="D33" s="4"/>
      <c r="E33" s="4"/>
      <c r="F33" s="4"/>
    </row>
    <row r="34" spans="1:6">
      <c r="A34" s="5" t="s">
        <v>285</v>
      </c>
      <c r="B34" s="5"/>
      <c r="C34" s="5"/>
      <c r="D34" s="5"/>
      <c r="E34" s="5"/>
      <c r="F34" s="5"/>
    </row>
    <row r="35" spans="1:6">
      <c r="A35" s="2" t="s">
        <v>286</v>
      </c>
      <c r="B35" s="2"/>
      <c r="C35" s="2"/>
      <c r="D35" s="2"/>
      <c r="E35" s="2"/>
      <c r="F35" s="2"/>
    </row>
    <row r="36" spans="1:6">
      <c r="A36" s="2" t="s">
        <v>287</v>
      </c>
      <c r="B36" s="2"/>
      <c r="C36" s="2"/>
      <c r="D36" s="2"/>
      <c r="E36" s="2"/>
      <c r="F36" s="2"/>
    </row>
    <row r="37" spans="1:6">
      <c r="A37" s="2" t="s">
        <v>288</v>
      </c>
      <c r="B37" s="2"/>
      <c r="C37" s="2"/>
      <c r="D37" s="2"/>
      <c r="E37" s="2"/>
      <c r="F37" s="2"/>
    </row>
    <row r="38" spans="1:6">
      <c r="A38" s="2"/>
      <c r="B38" s="2"/>
      <c r="C38" s="2"/>
      <c r="D38" s="2"/>
      <c r="E38" s="2"/>
      <c r="F38" s="2"/>
    </row>
    <row r="39" spans="1:6">
      <c r="A39" s="7" t="s">
        <v>289</v>
      </c>
      <c r="B39" s="7"/>
      <c r="C39" s="7"/>
      <c r="D39" s="7"/>
      <c r="E39" s="8"/>
      <c r="F39" s="8"/>
    </row>
    <row r="40" spans="1:6">
      <c r="A40" s="9" t="s">
        <v>290</v>
      </c>
      <c r="B40" s="9"/>
      <c r="C40" s="9"/>
      <c r="D40" s="8" t="s">
        <v>291</v>
      </c>
      <c r="E40" s="8"/>
      <c r="F40" s="8"/>
    </row>
    <row r="41" spans="1:6">
      <c r="A41" s="10" t="s">
        <v>93</v>
      </c>
      <c r="B41" s="10" t="s">
        <v>61</v>
      </c>
      <c r="C41" s="10" t="s">
        <v>94</v>
      </c>
      <c r="D41" s="10" t="s">
        <v>61</v>
      </c>
      <c r="E41" s="8"/>
      <c r="F41" s="8"/>
    </row>
    <row r="42" spans="1:6">
      <c r="A42" s="10" t="s">
        <v>97</v>
      </c>
      <c r="B42" s="10">
        <v>5.5</v>
      </c>
      <c r="C42" s="10" t="s">
        <v>98</v>
      </c>
      <c r="D42" s="10">
        <v>171</v>
      </c>
      <c r="E42" s="8"/>
      <c r="F42" s="8"/>
    </row>
    <row r="43" spans="1:6">
      <c r="A43" s="10" t="s">
        <v>99</v>
      </c>
      <c r="B43" s="10">
        <v>83.6</v>
      </c>
      <c r="C43" s="10" t="s">
        <v>157</v>
      </c>
      <c r="D43" s="10">
        <v>1.3</v>
      </c>
      <c r="E43" s="8"/>
      <c r="F43" s="8"/>
    </row>
    <row r="44" spans="1:6">
      <c r="A44" s="10" t="s">
        <v>292</v>
      </c>
      <c r="B44" s="10">
        <v>138</v>
      </c>
      <c r="C44" s="10" t="s">
        <v>293</v>
      </c>
      <c r="D44" s="10">
        <v>156</v>
      </c>
      <c r="E44" s="8"/>
      <c r="F44" s="8"/>
    </row>
    <row r="45" spans="1:6">
      <c r="A45" s="10" t="s">
        <v>158</v>
      </c>
      <c r="B45" s="10">
        <v>812</v>
      </c>
      <c r="C45" s="10" t="s">
        <v>159</v>
      </c>
      <c r="D45" s="10">
        <v>700</v>
      </c>
      <c r="E45" s="8"/>
      <c r="F45" s="8"/>
    </row>
    <row r="46" spans="1:6">
      <c r="A46" s="10"/>
      <c r="B46" s="10"/>
      <c r="C46" s="10" t="s">
        <v>294</v>
      </c>
      <c r="D46" s="10">
        <v>10.8</v>
      </c>
      <c r="E46" s="8"/>
      <c r="F46" s="8"/>
    </row>
    <row r="47" spans="1:6">
      <c r="A47" s="10" t="s">
        <v>295</v>
      </c>
      <c r="B47" s="10">
        <v>1039.1</v>
      </c>
      <c r="C47" s="10" t="s">
        <v>94</v>
      </c>
      <c r="D47" s="10">
        <v>1039.1</v>
      </c>
      <c r="E47" s="8"/>
      <c r="F47" s="8"/>
    </row>
    <row r="48" spans="1:6">
      <c r="A48" s="8" t="s">
        <v>296</v>
      </c>
      <c r="B48" s="8"/>
      <c r="C48" s="8"/>
      <c r="D48" s="8"/>
      <c r="E48" s="8"/>
      <c r="F48" s="8"/>
    </row>
    <row r="49" spans="1:6">
      <c r="A49" s="8" t="s">
        <v>297</v>
      </c>
      <c r="B49" s="8"/>
      <c r="C49" s="8"/>
      <c r="D49" s="8"/>
      <c r="E49" s="8"/>
      <c r="F49" s="8"/>
    </row>
    <row r="50" spans="1:6">
      <c r="A50" s="8" t="s">
        <v>298</v>
      </c>
      <c r="B50" s="8"/>
      <c r="C50" s="8"/>
      <c r="D50" s="8"/>
      <c r="E50" s="8"/>
      <c r="F50" s="8"/>
    </row>
    <row r="51" spans="1:6">
      <c r="A51" s="8" t="s">
        <v>299</v>
      </c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  <row r="53" spans="1:6">
      <c r="A53" s="8"/>
      <c r="B53" s="8"/>
      <c r="C53" s="8"/>
      <c r="D53" s="8"/>
      <c r="E53" s="8"/>
      <c r="F53" s="8"/>
    </row>
    <row r="54" spans="1:6">
      <c r="A54" s="8"/>
      <c r="B54" s="8"/>
      <c r="C54" s="8"/>
      <c r="D54" s="8"/>
      <c r="E54" s="8"/>
      <c r="F54" s="8"/>
    </row>
    <row r="55" spans="1:6">
      <c r="A55" s="8"/>
      <c r="B55" s="8"/>
      <c r="C55" s="8"/>
      <c r="D55" s="8"/>
      <c r="E55" s="8"/>
      <c r="F55" s="8"/>
    </row>
    <row r="56" spans="1:6">
      <c r="A56" s="8"/>
      <c r="B56" s="8"/>
      <c r="C56" s="8"/>
      <c r="D56" s="8"/>
      <c r="E56" s="8"/>
      <c r="F56" s="8"/>
    </row>
    <row r="57" spans="1:6">
      <c r="A57" s="8"/>
      <c r="B57" s="8"/>
      <c r="C57" s="8"/>
      <c r="D57" s="8"/>
      <c r="E57" s="8"/>
      <c r="F57" s="8"/>
    </row>
    <row r="58" spans="1:6">
      <c r="A58" s="8"/>
      <c r="B58" s="8"/>
      <c r="C58" s="8"/>
      <c r="D58" s="8"/>
      <c r="E58" s="8"/>
      <c r="F58" s="8"/>
    </row>
    <row r="59" spans="1:6">
      <c r="A59" s="8"/>
      <c r="B59" s="8"/>
      <c r="C59" s="8"/>
      <c r="D59" s="8"/>
      <c r="E59" s="8"/>
      <c r="F59" s="8"/>
    </row>
    <row r="60" spans="1:6">
      <c r="A60" s="8"/>
      <c r="B60" s="8"/>
      <c r="C60" s="8"/>
      <c r="D60" s="8"/>
      <c r="E60" s="8"/>
      <c r="F60" s="8"/>
    </row>
    <row r="61" spans="1:6">
      <c r="A61" s="8"/>
      <c r="B61" s="8"/>
      <c r="C61" s="8"/>
      <c r="D61" s="8"/>
      <c r="E61" s="8"/>
      <c r="F61" s="8"/>
    </row>
    <row r="62" spans="1:6">
      <c r="A62" s="8"/>
      <c r="B62" s="8"/>
      <c r="C62" s="8"/>
      <c r="D62" s="8"/>
      <c r="E62" s="8"/>
      <c r="F62" s="8"/>
    </row>
    <row r="63" spans="1:6">
      <c r="A63" s="8"/>
      <c r="B63" s="8"/>
      <c r="C63" s="8"/>
      <c r="D63" s="8"/>
      <c r="E63" s="8"/>
      <c r="F63" s="8"/>
    </row>
    <row r="64" spans="1:6">
      <c r="A64" s="8"/>
      <c r="B64" s="8"/>
      <c r="C64" s="8"/>
      <c r="D64" s="8"/>
      <c r="E64" s="8"/>
      <c r="F64" s="8"/>
    </row>
    <row r="65" spans="1:6">
      <c r="A65" s="11"/>
      <c r="B65" s="11"/>
      <c r="C65" s="11"/>
      <c r="D65" s="11"/>
      <c r="E65" s="11"/>
      <c r="F65" s="11"/>
    </row>
    <row r="66" spans="1:6">
      <c r="A66" s="12"/>
      <c r="B66" s="12"/>
      <c r="C66" s="12"/>
      <c r="D66" s="12"/>
      <c r="E66" s="12"/>
      <c r="F66" s="12"/>
    </row>
    <row r="67" spans="1:6">
      <c r="A67" s="12"/>
      <c r="B67" s="12"/>
      <c r="C67" s="12"/>
      <c r="D67" s="12"/>
      <c r="E67" s="12"/>
      <c r="F67" s="12"/>
    </row>
  </sheetData>
  <mergeCells count="2">
    <mergeCell ref="A39:D39"/>
    <mergeCell ref="A40:C4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任务1 </vt:lpstr>
      <vt:lpstr>任务2 </vt:lpstr>
      <vt:lpstr>任务3</vt:lpstr>
      <vt:lpstr>任务4 </vt:lpstr>
      <vt:lpstr>任务5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绿湖</cp:lastModifiedBy>
  <dcterms:created xsi:type="dcterms:W3CDTF">2019-12-12T08:34:00Z</dcterms:created>
  <dcterms:modified xsi:type="dcterms:W3CDTF">2023-08-07T11:43:30Z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A5441EB571FB4A2BB692ADC76955A300_12</vt:lpwstr>
  </property>
  <property fmtid="{D5CDD505-2E9C-101B-9397-08002B2CF9AE}" pid="4" name="KSOReadingLayout">
    <vt:bool>true</vt:bool>
  </property>
</Properties>
</file>